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tabRatio="595" activeTab="0"/>
  </bookViews>
  <sheets>
    <sheet name="30.12.2020" sheetId="1" r:id="rId1"/>
  </sheets>
  <definedNames/>
  <calcPr fullCalcOnLoad="1" fullPrecision="0"/>
</workbook>
</file>

<file path=xl/sharedStrings.xml><?xml version="1.0" encoding="utf-8"?>
<sst xmlns="http://schemas.openxmlformats.org/spreadsheetml/2006/main" count="569" uniqueCount="331">
  <si>
    <t>Остаток</t>
  </si>
  <si>
    <t>Сумма, всего</t>
  </si>
  <si>
    <t>Доходы</t>
  </si>
  <si>
    <t>Итого доходов</t>
  </si>
  <si>
    <t>Расходы</t>
  </si>
  <si>
    <t>КВФО 2</t>
  </si>
  <si>
    <t>Всего</t>
  </si>
  <si>
    <t>Учебные расходы</t>
  </si>
  <si>
    <t>КВФО 4</t>
  </si>
  <si>
    <t>КВФО 5</t>
  </si>
  <si>
    <t>Наименование показателя</t>
  </si>
  <si>
    <t>Местный бюджет</t>
  </si>
  <si>
    <t>Субвенция</t>
  </si>
  <si>
    <t>прочие</t>
  </si>
  <si>
    <t>Код субсидии</t>
  </si>
  <si>
    <t>000000000.00</t>
  </si>
  <si>
    <t>Отраслевой код</t>
  </si>
  <si>
    <t>906.3039.9040040.000</t>
  </si>
  <si>
    <t>КОСГУ 211 Заработная плата</t>
  </si>
  <si>
    <t>КОСГУ 221 Услуги связи</t>
  </si>
  <si>
    <t>КОСГУ 223 Коммунальные услуги</t>
  </si>
  <si>
    <t>КОСГУ 225 Работы, услуги по содержанию имущества</t>
  </si>
  <si>
    <t>КОСГУ 310 Приобретения основных средств</t>
  </si>
  <si>
    <t>906.3020.1040040.000</t>
  </si>
  <si>
    <t>КОСГУ 226 Прочие работы, услуги</t>
  </si>
  <si>
    <t>КОСГУ 340  Увеличение стоимости материальных запасов</t>
  </si>
  <si>
    <t>Наименование расходов</t>
  </si>
  <si>
    <t>Итого расходов</t>
  </si>
  <si>
    <t>2.2. Субсидии на иные цели, в том числе</t>
  </si>
  <si>
    <t>906000002.00</t>
  </si>
  <si>
    <t>2.1 Субсидии на выполнение государственного (муниципального) задания автономным учреждением</t>
  </si>
  <si>
    <t>КВР</t>
  </si>
  <si>
    <t>57,50 область</t>
  </si>
  <si>
    <t>Приложение № 2 к ПФХД</t>
  </si>
  <si>
    <t>Расчеты (обоснования), прилагаемые</t>
  </si>
  <si>
    <t>к Плану финансово-хозяйственной деятельности</t>
  </si>
  <si>
    <t>1. Расчет (обоснование) выплат персоналу (строка 210)</t>
  </si>
  <si>
    <t>1.1. Расчет (обоснование) расходов на оплату труда</t>
  </si>
  <si>
    <t>КОСГУ 211</t>
  </si>
  <si>
    <t>п/п</t>
  </si>
  <si>
    <t>Фонд оплаты труда по штатному расписанию, руб.</t>
  </si>
  <si>
    <t>Фонд оплаты труда по тарификации, руб.</t>
  </si>
  <si>
    <t>Фонд оплаты труда в год, руб.*</t>
  </si>
  <si>
    <t>В том числе за счет средств</t>
  </si>
  <si>
    <t>в месяц</t>
  </si>
  <si>
    <t>в год</t>
  </si>
  <si>
    <t>субсидии на выполнение МЗ</t>
  </si>
  <si>
    <t>ПОУ</t>
  </si>
  <si>
    <t>Итого</t>
  </si>
  <si>
    <t>1.2. Расчет (обоснование) выплат персоналу при направлении</t>
  </si>
  <si>
    <t>в служебные командировки</t>
  </si>
  <si>
    <t>№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</si>
  <si>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</si>
  <si>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</si>
  <si>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</si>
  <si>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руб.*</t>
  </si>
  <si>
    <t>x</t>
  </si>
  <si>
    <t>*Рассчитывается путем умножения значений показателей в графах 3, 4, 5.</t>
  </si>
  <si>
    <t>1.3. Расчет (обоснование) выплат персоналу по уходу</t>
  </si>
  <si>
    <t>за ребенком</t>
  </si>
  <si>
    <t>КОСГУ 212</t>
  </si>
  <si>
    <t>Численность работников, получающих пособие, чел.</t>
  </si>
  <si>
    <t>Количество выплат в год на одного работника, руб.</t>
  </si>
  <si>
    <t>Размер выплаты (пособия) в месяц, руб.</t>
  </si>
  <si>
    <t>Пособие по уходу за ребенком</t>
  </si>
  <si>
    <t xml:space="preserve">1.4. Расчет (обоснование) страховых взносов </t>
  </si>
  <si>
    <t xml:space="preserve">на обязательное страхование в Пенсионный фонд Российской Федерации, </t>
  </si>
  <si>
    <t xml:space="preserve">в Фонд социального страхования Российской Федерации, 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</si>
  <si>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</si>
  <si>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</si>
  <si>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</si>
  <si>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</si>
  <si>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 том числе: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</si>
  <si>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</si>
  <si>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</si>
  <si>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</si>
  <si>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</si>
  <si>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</si>
  <si>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</si>
  <si>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 том числе:</t>
  </si>
  <si>
    <t>2.1.</t>
  </si>
  <si>
    <t>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</si>
  <si>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</si>
  <si>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</si>
  <si>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</si>
  <si>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</si>
  <si>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</si>
  <si>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 xml:space="preserve">обязательное социальное страхование от несчастных случаев на производстве и профессиональных заболеваний по ставке 0,_ % </t>
  </si>
  <si>
    <t>2.5.</t>
  </si>
  <si>
    <t>Страховые взносы в Федеральный фонд обязательного медицинского страхования по ставке 5,1 %</t>
  </si>
  <si>
    <t>2. Расчет (обоснование) расходов на социальные и иные</t>
  </si>
  <si>
    <t>выплаты населению</t>
  </si>
  <si>
    <t>КОСГУ 262</t>
  </si>
  <si>
    <t>Размер одной выплаты, руб.</t>
  </si>
  <si>
    <t>Количество выплат в год, ед.</t>
  </si>
  <si>
    <t>Общая сумма выплат, руб.*</t>
  </si>
  <si>
    <t>3. Расчет (обоснование) расходов на уплату налогов,</t>
  </si>
  <si>
    <t>сборов и иных платежей</t>
  </si>
  <si>
    <t>Налоговая база, руб.</t>
  </si>
  <si>
    <t>Ставка налога, %</t>
  </si>
  <si>
    <t>аренды</t>
  </si>
  <si>
    <t>Налог на имущество</t>
  </si>
  <si>
    <t>*Рассчитывается путем умножения значений показателей в графах 3, 4 и деления полученного произведения на 100.</t>
  </si>
  <si>
    <t>4. Расчет (обоснование) расходов на безвозмездные перечисления организациям</t>
  </si>
  <si>
    <t>Код видов расходов ______________________________</t>
  </si>
  <si>
    <t>*Рассчитывается путем умножения значений показателей в графах 3 и 4.</t>
  </si>
  <si>
    <t>5. Расчет (обоснование) прочих расходов (кроме расходов</t>
  </si>
  <si>
    <t>на закупку товаров, работ, услуг)</t>
  </si>
  <si>
    <t>6. Расчет (обоснование) расходов на закупку товаров, работ, услуг</t>
  </si>
  <si>
    <t>КОСГУ 221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</si>
  <si>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</si>
  <si>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</si>
  <si>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</si>
  <si>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</si>
  <si>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абонентская плата за номер</t>
  </si>
  <si>
    <t>Интернет</t>
  </si>
  <si>
    <t>6.2. Расчет (обоснование) расходов на оплату транспортных услуг</t>
  </si>
  <si>
    <t>КОСГУ 222</t>
  </si>
  <si>
    <t>Количество услуг перевозки</t>
  </si>
  <si>
    <t>Цена услуги перевозки, руб.</t>
  </si>
  <si>
    <t>6.3. Расчет (обоснование) расходов на оплату коммунальных услуг</t>
  </si>
  <si>
    <t>КОСГУ 223</t>
  </si>
  <si>
    <t>№п/п</t>
  </si>
  <si>
    <t>Размер потребления ресурсов</t>
  </si>
  <si>
    <t xml:space="preserve">Тариф </t>
  </si>
  <si>
    <t>Индексация, %</t>
  </si>
  <si>
    <t>(с учетом НДС), руб.</t>
  </si>
  <si>
    <t>возмещение от арендаторов</t>
  </si>
  <si>
    <t>Электроснабжение</t>
  </si>
  <si>
    <t>Теплоснабжение</t>
  </si>
  <si>
    <t>6.4. Расчет (обоснование) расходов на оплату аренды имущества</t>
  </si>
  <si>
    <t>КОСГУ 224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</si>
  <si>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</si>
  <si>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</si>
  <si>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</si>
  <si>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 работ, услуг</t>
  </si>
  <si>
    <t>по содержанию имущества</t>
  </si>
  <si>
    <t>КОСГУ 225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</si>
  <si>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</si>
  <si>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</si>
  <si>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</si>
  <si>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</si>
  <si>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КОСГУ 226</t>
  </si>
  <si>
    <t>Количество договоров</t>
  </si>
  <si>
    <t>Стоимость услуги, руб.</t>
  </si>
  <si>
    <t>6.7. Расчет (обоснование) расходов на приобретение основных</t>
  </si>
  <si>
    <t>средств, материальных запасов</t>
  </si>
  <si>
    <t>КОСГУ 310,340</t>
  </si>
  <si>
    <t>Средняя стоимость, руб.</t>
  </si>
  <si>
    <t>Сумма, руб.</t>
  </si>
  <si>
    <t>Приобретение основных средств</t>
  </si>
  <si>
    <t>Увеличение стоимости материальных запасов</t>
  </si>
  <si>
    <t>ИТОГО в ПФХД (КВФО 4)</t>
  </si>
  <si>
    <t>ИТОГО в ПФХД (КВФО 2)</t>
  </si>
  <si>
    <t>ИТОГО в ПФХД (КВФО 5)</t>
  </si>
  <si>
    <t>Субсидии на иные цели</t>
  </si>
  <si>
    <t>Земельный налог</t>
  </si>
  <si>
    <t>Код видов расходов __244, 853________________________</t>
  </si>
  <si>
    <t>безвозмездные поступления</t>
  </si>
  <si>
    <t>возм</t>
  </si>
  <si>
    <t xml:space="preserve">ПОУ </t>
  </si>
  <si>
    <t>аренда</t>
  </si>
  <si>
    <t>906.3020.2044040.000</t>
  </si>
  <si>
    <t>Договор об экстренном реагировании нарядов полиции в случае срабатывания тревожной сигнализации</t>
  </si>
  <si>
    <t>КОСГУ 213</t>
  </si>
  <si>
    <t>244,852,853</t>
  </si>
  <si>
    <t>жертва</t>
  </si>
  <si>
    <t>возмещ</t>
  </si>
  <si>
    <t>Горячее водоснабжение, всего</t>
  </si>
  <si>
    <t>Холодное водоснабжение, всего</t>
  </si>
  <si>
    <t>906.3050.0000040.000</t>
  </si>
  <si>
    <t>род плата</t>
  </si>
  <si>
    <r>
      <rPr>
        <b/>
        <sz val="13"/>
        <color indexed="8"/>
        <rFont val="Times New Roman"/>
        <family val="1"/>
      </rPr>
      <t>0703</t>
    </r>
    <r>
      <rPr>
        <sz val="13"/>
        <color indexed="8"/>
        <rFont val="Times New Roman"/>
        <family val="1"/>
      </rPr>
      <t xml:space="preserve"> ПОУ</t>
    </r>
  </si>
  <si>
    <r>
      <rPr>
        <b/>
        <sz val="13"/>
        <color indexed="8"/>
        <rFont val="Times New Roman"/>
        <family val="1"/>
      </rPr>
      <t>0709</t>
    </r>
    <r>
      <rPr>
        <sz val="13"/>
        <color indexed="8"/>
        <rFont val="Times New Roman"/>
        <family val="1"/>
      </rPr>
      <t xml:space="preserve"> Прочие безвозмездные поступления</t>
    </r>
  </si>
  <si>
    <t>0701 Родительская плата</t>
  </si>
  <si>
    <r>
      <rPr>
        <b/>
        <sz val="13"/>
        <color indexed="8"/>
        <rFont val="Times New Roman"/>
        <family val="1"/>
      </rPr>
      <t xml:space="preserve">0113 </t>
    </r>
    <r>
      <rPr>
        <sz val="13"/>
        <color indexed="8"/>
        <rFont val="Times New Roman"/>
        <family val="1"/>
      </rPr>
      <t>аренда</t>
    </r>
  </si>
  <si>
    <t>0709 питание сотрудников</t>
  </si>
  <si>
    <r>
      <rPr>
        <b/>
        <sz val="13"/>
        <color indexed="8"/>
        <rFont val="Times New Roman"/>
        <family val="1"/>
      </rPr>
      <t>0709</t>
    </r>
    <r>
      <rPr>
        <sz val="13"/>
        <color indexed="8"/>
        <rFont val="Times New Roman"/>
        <family val="1"/>
      </rPr>
      <t>Доходы от реализации активов(в части реализации материальных запасов по указанному имуществу)</t>
    </r>
  </si>
  <si>
    <r>
      <rPr>
        <b/>
        <sz val="13"/>
        <color indexed="8"/>
        <rFont val="Times New Roman"/>
        <family val="1"/>
      </rPr>
      <t>0701</t>
    </r>
    <r>
      <rPr>
        <sz val="13"/>
        <color indexed="8"/>
        <rFont val="Times New Roman"/>
        <family val="1"/>
      </rPr>
      <t xml:space="preserve">  Пени, штрафы, иное возмещение ущерба </t>
    </r>
  </si>
  <si>
    <r>
      <t>Код видов расходов _________</t>
    </r>
    <r>
      <rPr>
        <u val="single"/>
        <sz val="14"/>
        <rFont val="Times New Roman"/>
        <family val="1"/>
      </rPr>
      <t>111__________________</t>
    </r>
  </si>
  <si>
    <r>
      <t>Источник финансового обеспечения __</t>
    </r>
    <r>
      <rPr>
        <u val="single"/>
        <sz val="14"/>
        <rFont val="Times New Roman"/>
        <family val="1"/>
      </rPr>
      <t>все источники____</t>
    </r>
  </si>
  <si>
    <t>Обдастной бюджет</t>
  </si>
  <si>
    <t>непедагогические работники, участвующие в образовательном процессе</t>
  </si>
  <si>
    <t>непедагогические работники, не участвующие в образовательном процессе</t>
  </si>
  <si>
    <t>Педагогические работники</t>
  </si>
  <si>
    <t>*Рассчитывается путем сложения граф 2+4+6=7</t>
  </si>
  <si>
    <t>КОСГУ 291 Прочие расходы</t>
  </si>
  <si>
    <t>КОСГУ 296 Прочие расходы</t>
  </si>
  <si>
    <t>зп ауп</t>
  </si>
  <si>
    <t>зп педагоги</t>
  </si>
  <si>
    <t>ком</t>
  </si>
  <si>
    <t>питание</t>
  </si>
  <si>
    <r>
      <t>Код видов расходов _________</t>
    </r>
    <r>
      <rPr>
        <u val="single"/>
        <sz val="14"/>
        <rFont val="Times New Roman"/>
        <family val="1"/>
      </rPr>
      <t>360__________________</t>
    </r>
  </si>
  <si>
    <t>*Рассчитывается путем умножения значений показателей в графах 3, 4</t>
  </si>
  <si>
    <r>
      <t>Код видов расходов  ___________</t>
    </r>
    <r>
      <rPr>
        <u val="single"/>
        <sz val="14"/>
        <rFont val="Times New Roman"/>
        <family val="1"/>
      </rPr>
      <t>851________________</t>
    </r>
  </si>
  <si>
    <t>КОСГУ 291</t>
  </si>
  <si>
    <t xml:space="preserve">Сумма исчисленного налога, подлежащего уплате, руб.* </t>
  </si>
  <si>
    <t>КОСГУ 291,292,295,296</t>
  </si>
  <si>
    <t>прочих безвозмездных поступлений</t>
  </si>
  <si>
    <r>
      <t>Код видов расходов _________</t>
    </r>
    <r>
      <rPr>
        <u val="single"/>
        <sz val="14"/>
        <rFont val="Times New Roman"/>
        <family val="1"/>
      </rPr>
      <t>244_</t>
    </r>
    <r>
      <rPr>
        <sz val="14"/>
        <rFont val="Times New Roman"/>
        <family val="1"/>
      </rPr>
      <t>_________________</t>
    </r>
  </si>
  <si>
    <t>Поставщик услуги, реквизиты договора</t>
  </si>
  <si>
    <t>МЧС</t>
  </si>
  <si>
    <t>Поставщик, реквизиты договора</t>
  </si>
  <si>
    <t>дифицит</t>
  </si>
  <si>
    <t>родплата</t>
  </si>
  <si>
    <t>Оказание услуг по техническому обслуживанию комплекса технических средств охраны на объектах</t>
  </si>
  <si>
    <t>Комплексное обслуживание ИТП</t>
  </si>
  <si>
    <t>Техническое обслуживание вентиляционных установок</t>
  </si>
  <si>
    <t xml:space="preserve">Техническое обслуживание установок пожарной сигнализации </t>
  </si>
  <si>
    <t>Техническое обслуживание оборудование "Стрелец-мониторинг"</t>
  </si>
  <si>
    <t>Предоставление санитарно-эпидемиологических услуг, работ (дератизация, дезинсекция)</t>
  </si>
  <si>
    <t>Техническое обслуживание установок доочистки воды</t>
  </si>
  <si>
    <t>Обслуживание технологического оборудования</t>
  </si>
  <si>
    <t>Поверка весов</t>
  </si>
  <si>
    <t>Акарицидная обработка</t>
  </si>
  <si>
    <t>Средняя стоимость, руб</t>
  </si>
  <si>
    <t>Мед осмотры</t>
  </si>
  <si>
    <t>Плата за ведение бух учета</t>
  </si>
  <si>
    <t>питание сотрудников</t>
  </si>
  <si>
    <t>*Рассчитывается путем умножения значений показателей в графах 4 и 5.</t>
  </si>
  <si>
    <t>субсидии на иные цели</t>
  </si>
  <si>
    <t>учебные</t>
  </si>
  <si>
    <t>учеба курсы</t>
  </si>
  <si>
    <t>12/4</t>
  </si>
  <si>
    <t>Техническое обслуживание системы видеонаблюдения</t>
  </si>
  <si>
    <t>б/л за счет предприятия</t>
  </si>
  <si>
    <t>местный</t>
  </si>
  <si>
    <t>область</t>
  </si>
  <si>
    <t>КОСГУ 342  Увеличение стоимости продуктов питания</t>
  </si>
  <si>
    <t>КОСГУ 344  Увеличение стоимости строительных материалов</t>
  </si>
  <si>
    <t>КОСГУ 345  Увеличение стоимости мягкого инвентаря</t>
  </si>
  <si>
    <t>КОСГУ 346  Увеличение стоимости прочих оборотных запасов</t>
  </si>
  <si>
    <t>КОСГУ 349  Увеличение стоимости прочих материальных запасов однократного применения</t>
  </si>
  <si>
    <t>КОСГУ 292 Прочие расходы</t>
  </si>
  <si>
    <t>180 Налоги</t>
  </si>
  <si>
    <t>ТКО</t>
  </si>
  <si>
    <t>Услуги по выпуску сертификата,тарифн.план "Квалифицированный Классик", Изготовление доп. сертификата на использования СКЗИ "КриптоПро".</t>
  </si>
  <si>
    <r>
      <rPr>
        <b/>
        <sz val="13"/>
        <color indexed="8"/>
        <rFont val="Times New Roman"/>
        <family val="1"/>
      </rPr>
      <t>0113</t>
    </r>
    <r>
      <rPr>
        <sz val="13"/>
        <color indexed="8"/>
        <rFont val="Times New Roman"/>
        <family val="1"/>
      </rPr>
      <t xml:space="preserve"> возмещение коммунальных услуг</t>
    </r>
  </si>
  <si>
    <t>Междугородняя связь</t>
  </si>
  <si>
    <t>дифицит/профицит</t>
  </si>
  <si>
    <t>безозмездных поступлений</t>
  </si>
  <si>
    <t>доходов от реализации активов</t>
  </si>
  <si>
    <t>КОСГУ 224 Арендная плата за пользование имуществом</t>
  </si>
  <si>
    <t>КОСГУ 263 Пособия по социальной помощи населению в натуральной форме</t>
  </si>
  <si>
    <t>КОСГУ 266 Пособия по социальной помощи населению в денежной форме</t>
  </si>
  <si>
    <t>КОСГУ 228 Услуги, работы для целей капитальных вложений</t>
  </si>
  <si>
    <t>КОСГУ 213 Начисления на выплаты по заработной плате</t>
  </si>
  <si>
    <t>Услуги ЧОП</t>
  </si>
  <si>
    <t>МБДОУ № 546</t>
  </si>
  <si>
    <t>Аренда контейнера</t>
  </si>
  <si>
    <t>Обслуживание контейнерной площадки</t>
  </si>
  <si>
    <t>Муниципальное бюджетное дошкольное образовательное учреждение - детский сад № 546 "Семицветик"</t>
  </si>
  <si>
    <t>44 ФЗ 78.1</t>
  </si>
  <si>
    <t>44 ФЗ МЗ</t>
  </si>
  <si>
    <t>44 ФЗ внебюджет</t>
  </si>
  <si>
    <t>223 ФЗ внебюджет</t>
  </si>
  <si>
    <t>АО "ЭР-Телеком Холдинг", Дог.ЕК/18-58 от 01.01.2020</t>
  </si>
  <si>
    <t>ПАО "Ростелеком", Дог.27251 от 30.12.2019</t>
  </si>
  <si>
    <t>Филиал "Свердловский" ПАО "Т Плюс", Гос.контр. ТГЭ1812-39090 от 24.01.2020</t>
  </si>
  <si>
    <t xml:space="preserve">ЕМУП "ВОДОПРОВОДНО-КАНАЛИЗАЦИОННОГО ХОЗЯЙСТВА", Дог. 3299 от 31.12.2019  </t>
  </si>
  <si>
    <t>АО "Екатеринбургэнергосбыт", Дог.16968 от 09.01.19г.</t>
  </si>
  <si>
    <t>ЕМУП "Специализированная автобаза", Дог. 344942 от 09.01.2020</t>
  </si>
  <si>
    <t xml:space="preserve">Департамент образования Администрации города Екатеринбурга, Дог.546д-20 от 09.01.20г. </t>
  </si>
  <si>
    <t>АО "ПФ "СКБ Контур", Дог.09920694/20 от 02.03.20г.</t>
  </si>
  <si>
    <t>ООО ЧОО "Абсолютная безопасность", Дог.27/2020 от 01.02.2020г</t>
  </si>
  <si>
    <t>УрГПУ, Дог.88096 от 13.03.20г., Дог.88126 от 13.03.20г.</t>
  </si>
  <si>
    <t>Образовательные усл по доп.образов программе повыш квалификации (1 чел) (8255)</t>
  </si>
  <si>
    <t xml:space="preserve">УВО по городу Екатеринбургу - филиал ФГКУ "УВО ВНГ России по Свердловской области, Дог.149-7/275 от 09.01.20г. </t>
  </si>
  <si>
    <t xml:space="preserve">ООО "Осмос 66", Дог.160 от 09.01.20г. </t>
  </si>
  <si>
    <t>ООО "Сервис", Дог.18546 от 01.01.20г.</t>
  </si>
  <si>
    <t>ООО "ЭнергоХОСТ", Дог. 62-Чк/к от 09.01.2020</t>
  </si>
  <si>
    <t>ООО "ЭнТиС", Дог. 41-Чк/в от 09.01.2020</t>
  </si>
  <si>
    <t>ООО "ПолиКом-А", Дог.09/01/20-546д от 09.01.20г.</t>
  </si>
  <si>
    <t>ООО "УК РЭМП УЖСК", Дог.010/ТКО от 09.01.2020г.</t>
  </si>
  <si>
    <t>ООО "Защита-93", Дог.77 от 09.01.20г.</t>
  </si>
  <si>
    <t>ООО "АКТАЙ-МОНИТОРИНГ", Дог.510-20-ТМО от 09.01.2020</t>
  </si>
  <si>
    <t>Центральный Екатеринбургский Филиал ФБУЗ "Центр гигиены и эпидемиологии в Свердловской области" , Дог.125 от 09.01.20г.</t>
  </si>
  <si>
    <t>ООО "ЧОП "Застава", Дог.71\20 от 01.01.2020г.</t>
  </si>
  <si>
    <t>Ремонт кровли</t>
  </si>
  <si>
    <t>Гигиеническое обучение</t>
  </si>
  <si>
    <t>Организация дополнительного профессионального образхования педагогических работников</t>
  </si>
  <si>
    <t>906120626.00</t>
  </si>
  <si>
    <t>На приобретение стройств дезинфекции и медицинского контроля в целях профилактики и устранения последствий распространения новой коронавирусной инфекции в 2020</t>
  </si>
  <si>
    <t xml:space="preserve">ИП Попова Наталья Закировна, Дог.546/2020 от 25.05.2020г. </t>
  </si>
  <si>
    <t>Техническая поддержка пользователей "АИС Образование".</t>
  </si>
  <si>
    <t>Центральный Екатеринбургский Филиал ФБУЗ "Центр гигиены и эпидемиологии в Свердловской области" , Дог.171 от 09.01.20г.</t>
  </si>
  <si>
    <t>Дезинфекция помещения, камерная обработка вещей.</t>
  </si>
  <si>
    <t>Южный Екатеринбургский Филиал ФБУЗ "Центр гигиены и эпидемиологии в Свердловской области", Дог.3109 от 17.08.20г.</t>
  </si>
  <si>
    <t>Санэпид. услуги (определение антигена рота- и норовируса).</t>
  </si>
  <si>
    <t>Южный Екатеринбургский Филиал ФБУЗ "Центр гигиены и эпидемиологии в Свердловской области", Дог.2019 от 28.05.2020г</t>
  </si>
  <si>
    <t>ООО "АТЛАС КОММУНИКАЦИИ", Дог.3КДО-У 69/20 от 14.05.2020г.</t>
  </si>
  <si>
    <t>Обучение по дополнительным профессиональным программ. (8255)</t>
  </si>
  <si>
    <t>Оказание образов усл по прогр повыш-я квалиф (2с). (8255)</t>
  </si>
  <si>
    <t>АНО ДПО АПКиПР, Дог.09-18-546/2020 от 23.09.2020, Дог.09-10-546/2020 от 24.09.2020.</t>
  </si>
  <si>
    <t>ФГАОУ ВО "РГППУ", Дог.3167/2019 от 06.05.2020г</t>
  </si>
  <si>
    <t>Оказание образ услуг по доп проф программе повышия квалификации. (8255)</t>
  </si>
  <si>
    <t>ООО "Априкод", Дог.ТС-546/20 от 01.07.2020г.</t>
  </si>
  <si>
    <t>Южный Екатеринбургский Филиал ФБУЗ "Центр гигиены и эпидемиологии в Свердловской области", Дог.2283 от 20.04.2020г. Акт 7119 от 06.05.2020г.</t>
  </si>
  <si>
    <t>Установка системы видеонаблюдения</t>
  </si>
  <si>
    <t>Дезинфекция помещения</t>
  </si>
  <si>
    <t>Центральный Екатеринбургский Филиал ФБУЗ "Центр гигиены и эпидемиологии в Свердловской области", Дог.5897 от 12.11.20г., Дог.5422 от 16.10.20г</t>
  </si>
  <si>
    <t>ООО "Осмос 66", Дог.520 от 01.10.20г.</t>
  </si>
  <si>
    <t>Замена УФ-излучателя.</t>
  </si>
  <si>
    <t>ООО "МЕТРОНОМ", Дог.254 от 05.10.20г.</t>
  </si>
  <si>
    <t>Общество с ограниченной ответственностью "Сервисный центр "ТЕТРОНИКС", Дог.СП 2851 от 13.11.2020г.</t>
  </si>
  <si>
    <t>Обследование технического состояния техники д/получения технич заключения.</t>
  </si>
  <si>
    <t>ООО "ПАРУС-Екатеринбург", Дог.24/14590  от 10.11.2020г.</t>
  </si>
  <si>
    <t>Услуги по подключению к модулям системы "Парус Бюджет 8" на 12 мес.</t>
  </si>
  <si>
    <t>ООО " Экстрим безопасность ", Дог.1235-Б от 25.08.2020г</t>
  </si>
  <si>
    <t>Услуги по обеспечению защиты автоматизированного раб.места.</t>
  </si>
  <si>
    <t>ООО "Априкод", Дог.6674113097/20 от 01.11.2020г.</t>
  </si>
  <si>
    <t>Простая (неисключ) лицензия на исп ПО "Сайты д/обр орган-ций"</t>
  </si>
  <si>
    <t>АНО ДПО "Учебный центр СКБ Контур", Контр 308002689/20Ш от 04.12.2020г.</t>
  </si>
  <si>
    <t>Повышение квалиф по программе"Управление гос и мун закупками"</t>
  </si>
  <si>
    <t>Общество с ограниченной ответственностью "МКЦ", МК 546/2020М от 20.05.2020г, ООО «КДЦ «Консилиум», Дог.МО1-07/20 от 13.07.2020г</t>
  </si>
  <si>
    <t>курсы</t>
  </si>
  <si>
    <t>АНО ДПО АПКиПР, Дог.10-05-546/2020 от 13.10.2020.</t>
  </si>
  <si>
    <t>план завышен на 22870 346 косгу снимать 30.12</t>
  </si>
  <si>
    <t>ООО "Уралстройремонт", Дог.84ш от 23.12.2020г.</t>
  </si>
  <si>
    <t>Изготовление и установка металлической двери.</t>
  </si>
  <si>
    <t>Индивидуальный предприниматель Гурвич Денис Александрович, Дог.83/546 от 16.11.2020г.</t>
  </si>
  <si>
    <t>Электрические измерения изоляции провода.</t>
  </si>
  <si>
    <t>ООО "Защита-93", Дог.87 (Вн) от 10.12.2020г.</t>
  </si>
  <si>
    <t xml:space="preserve">Муниципальное бюджетное учреждение "Электронный Екатеринбург", Дог.919эе от 30.11.2020г. </t>
  </si>
  <si>
    <t>Тех поддержка персонального средства защиты информации VipNet.</t>
  </si>
  <si>
    <t>ООО " Экстрим безопасность ", Дог.2566-ЭБ от 17.12.20г.</t>
  </si>
  <si>
    <t>Простая (неисключ) лицензия на воспроизведение ПО (Kaspersky Endpoint).</t>
  </si>
  <si>
    <t>Южный Екатеринбургский Филиал ФБУЗ "Центр гигиены и эпидемиологии в Свердловской области", Дог.4066 от 15.12.20г.</t>
  </si>
  <si>
    <t>Санэпид. услуги</t>
  </si>
  <si>
    <t>Муниципальное бюджетное учреждение "Электронный Екатеринбург", Дог.607/11/20 от 22.12.2020г.</t>
  </si>
  <si>
    <t>Неисключительное право использования ПО (Контур.Гособлако)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</si>
</sst>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#,##0.00_ ;\-#,##0.00\ 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0.00000"/>
    <numFmt numFmtId="189" formatCode="0.0"/>
    <numFmt numFmtId="190" formatCode="0.000"/>
    <numFmt numFmtId="191" formatCode="_-* #,##0.00000\ _₽_-;\-* #,##0.00000\ _₽_-;_-* &quot;-&quot;???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5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Roboto"/>
      <family val="0"/>
    </font>
    <font>
      <sz val="2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5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Roboto"/>
      <family val="0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92">
    <xf numFmtId="0" fontId="0" fillId="0" borderId="0" xfId="0" applyFont="1" applyAlignment="1">
      <alignment/>
    </xf>
    <xf numFmtId="0" fontId="5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3" fontId="59" fillId="0" borderId="14" xfId="6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3" fontId="59" fillId="0" borderId="16" xfId="62" applyFont="1" applyFill="1" applyBorder="1" applyAlignment="1">
      <alignment horizontal="center" vertical="center" wrapText="1"/>
    </xf>
    <xf numFmtId="173" fontId="60" fillId="0" borderId="11" xfId="62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173" fontId="3" fillId="0" borderId="14" xfId="6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justify" vertical="center" wrapText="1"/>
    </xf>
    <xf numFmtId="173" fontId="3" fillId="0" borderId="21" xfId="62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73" fontId="3" fillId="0" borderId="16" xfId="62" applyFont="1" applyFill="1" applyBorder="1" applyAlignment="1">
      <alignment horizontal="center" vertical="center" wrapText="1"/>
    </xf>
    <xf numFmtId="173" fontId="3" fillId="0" borderId="22" xfId="62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173" fontId="5" fillId="0" borderId="21" xfId="62" applyFont="1" applyFill="1" applyBorder="1" applyAlignment="1">
      <alignment/>
    </xf>
    <xf numFmtId="173" fontId="5" fillId="0" borderId="21" xfId="0" applyNumberFormat="1" applyFont="1" applyFill="1" applyBorder="1" applyAlignment="1">
      <alignment/>
    </xf>
    <xf numFmtId="0" fontId="59" fillId="0" borderId="21" xfId="0" applyFont="1" applyFill="1" applyBorder="1" applyAlignment="1">
      <alignment/>
    </xf>
    <xf numFmtId="173" fontId="60" fillId="0" borderId="21" xfId="0" applyNumberFormat="1" applyFont="1" applyFill="1" applyBorder="1" applyAlignment="1">
      <alignment/>
    </xf>
    <xf numFmtId="173" fontId="59" fillId="0" borderId="21" xfId="62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173" fontId="59" fillId="0" borderId="23" xfId="62" applyFont="1" applyFill="1" applyBorder="1" applyAlignment="1">
      <alignment/>
    </xf>
    <xf numFmtId="0" fontId="60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2" fontId="3" fillId="0" borderId="0" xfId="62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182" fontId="3" fillId="0" borderId="0" xfId="62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3" fontId="61" fillId="0" borderId="21" xfId="6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73" fontId="59" fillId="0" borderId="20" xfId="62" applyFont="1" applyFill="1" applyBorder="1" applyAlignment="1">
      <alignment/>
    </xf>
    <xf numFmtId="173" fontId="59" fillId="0" borderId="21" xfId="62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/>
    </xf>
    <xf numFmtId="0" fontId="59" fillId="0" borderId="10" xfId="0" applyFont="1" applyFill="1" applyBorder="1" applyAlignment="1">
      <alignment vertical="center" wrapText="1"/>
    </xf>
    <xf numFmtId="0" fontId="59" fillId="0" borderId="24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/>
    </xf>
    <xf numFmtId="173" fontId="59" fillId="0" borderId="13" xfId="62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wrapText="1"/>
    </xf>
    <xf numFmtId="0" fontId="59" fillId="0" borderId="24" xfId="0" applyFont="1" applyFill="1" applyBorder="1" applyAlignment="1">
      <alignment wrapText="1"/>
    </xf>
    <xf numFmtId="0" fontId="59" fillId="0" borderId="25" xfId="0" applyFont="1" applyFill="1" applyBorder="1" applyAlignment="1">
      <alignment wrapText="1"/>
    </xf>
    <xf numFmtId="173" fontId="59" fillId="0" borderId="15" xfId="62" applyNumberFormat="1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/>
    </xf>
    <xf numFmtId="173" fontId="59" fillId="0" borderId="21" xfId="62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73" fontId="3" fillId="0" borderId="21" xfId="0" applyNumberFormat="1" applyFont="1" applyFill="1" applyBorder="1" applyAlignment="1">
      <alignment horizontal="center" vertical="center" wrapText="1"/>
    </xf>
    <xf numFmtId="43" fontId="3" fillId="0" borderId="21" xfId="0" applyNumberFormat="1" applyFont="1" applyFill="1" applyBorder="1" applyAlignment="1">
      <alignment horizontal="center" vertical="center" wrapText="1"/>
    </xf>
    <xf numFmtId="173" fontId="3" fillId="0" borderId="16" xfId="0" applyNumberFormat="1" applyFont="1" applyFill="1" applyBorder="1" applyAlignment="1">
      <alignment horizontal="center" vertical="center" wrapText="1"/>
    </xf>
    <xf numFmtId="43" fontId="3" fillId="0" borderId="1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173" fontId="3" fillId="0" borderId="30" xfId="0" applyNumberFormat="1" applyFont="1" applyFill="1" applyBorder="1" applyAlignment="1">
      <alignment vertical="center" wrapText="1"/>
    </xf>
    <xf numFmtId="173" fontId="3" fillId="0" borderId="31" xfId="0" applyNumberFormat="1" applyFont="1" applyFill="1" applyBorder="1" applyAlignment="1">
      <alignment vertical="center" wrapText="1"/>
    </xf>
    <xf numFmtId="173" fontId="3" fillId="0" borderId="27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/>
    </xf>
    <xf numFmtId="173" fontId="59" fillId="0" borderId="19" xfId="62" applyFont="1" applyFill="1" applyBorder="1" applyAlignment="1">
      <alignment/>
    </xf>
    <xf numFmtId="173" fontId="59" fillId="0" borderId="0" xfId="62" applyFont="1" applyFill="1" applyAlignment="1">
      <alignment/>
    </xf>
    <xf numFmtId="173" fontId="63" fillId="0" borderId="0" xfId="62" applyFont="1" applyFill="1" applyAlignment="1">
      <alignment/>
    </xf>
    <xf numFmtId="0" fontId="3" fillId="0" borderId="21" xfId="0" applyFont="1" applyFill="1" applyBorder="1" applyAlignment="1">
      <alignment horizontal="center"/>
    </xf>
    <xf numFmtId="173" fontId="3" fillId="0" borderId="21" xfId="62" applyFont="1" applyFill="1" applyBorder="1" applyAlignment="1">
      <alignment/>
    </xf>
    <xf numFmtId="173" fontId="60" fillId="0" borderId="20" xfId="62" applyFont="1" applyFill="1" applyBorder="1" applyAlignment="1">
      <alignment/>
    </xf>
    <xf numFmtId="173" fontId="60" fillId="0" borderId="10" xfId="62" applyNumberFormat="1" applyFont="1" applyFill="1" applyBorder="1" applyAlignment="1">
      <alignment horizontal="center" vertical="center" wrapText="1"/>
    </xf>
    <xf numFmtId="43" fontId="3" fillId="0" borderId="21" xfId="62" applyNumberFormat="1" applyFont="1" applyFill="1" applyBorder="1" applyAlignment="1">
      <alignment horizontal="center" vertical="center" wrapText="1"/>
    </xf>
    <xf numFmtId="43" fontId="4" fillId="0" borderId="21" xfId="62" applyNumberFormat="1" applyFont="1" applyFill="1" applyBorder="1" applyAlignment="1">
      <alignment horizontal="center" vertical="center" wrapText="1"/>
    </xf>
    <xf numFmtId="173" fontId="3" fillId="0" borderId="10" xfId="62" applyFont="1" applyFill="1" applyBorder="1" applyAlignment="1">
      <alignment horizontal="center" vertical="center" wrapText="1"/>
    </xf>
    <xf numFmtId="173" fontId="3" fillId="0" borderId="28" xfId="62" applyFont="1" applyFill="1" applyBorder="1" applyAlignment="1">
      <alignment horizontal="center" vertical="center" wrapText="1"/>
    </xf>
    <xf numFmtId="43" fontId="3" fillId="0" borderId="14" xfId="62" applyNumberFormat="1" applyFont="1" applyFill="1" applyBorder="1" applyAlignment="1">
      <alignment horizontal="center" vertical="center" wrapText="1"/>
    </xf>
    <xf numFmtId="43" fontId="3" fillId="0" borderId="32" xfId="62" applyNumberFormat="1" applyFont="1" applyFill="1" applyBorder="1" applyAlignment="1">
      <alignment horizontal="center" vertical="center" wrapText="1"/>
    </xf>
    <xf numFmtId="43" fontId="3" fillId="0" borderId="23" xfId="62" applyNumberFormat="1" applyFont="1" applyFill="1" applyBorder="1" applyAlignment="1">
      <alignment horizontal="center" vertical="center" wrapText="1"/>
    </xf>
    <xf numFmtId="43" fontId="4" fillId="0" borderId="23" xfId="62" applyNumberFormat="1" applyFont="1" applyFill="1" applyBorder="1" applyAlignment="1">
      <alignment horizontal="center" vertical="center" wrapText="1"/>
    </xf>
    <xf numFmtId="43" fontId="3" fillId="0" borderId="16" xfId="62" applyNumberFormat="1" applyFont="1" applyFill="1" applyBorder="1" applyAlignment="1">
      <alignment horizontal="center" vertical="center" wrapText="1"/>
    </xf>
    <xf numFmtId="43" fontId="3" fillId="0" borderId="33" xfId="62" applyNumberFormat="1" applyFont="1" applyFill="1" applyBorder="1" applyAlignment="1">
      <alignment horizontal="center" vertical="center" wrapText="1"/>
    </xf>
    <xf numFmtId="173" fontId="60" fillId="0" borderId="21" xfId="62" applyFont="1" applyFill="1" applyBorder="1" applyAlignment="1">
      <alignment horizontal="center" vertical="center" wrapText="1"/>
    </xf>
    <xf numFmtId="173" fontId="60" fillId="0" borderId="23" xfId="62" applyFont="1" applyFill="1" applyBorder="1" applyAlignment="1">
      <alignment horizontal="center" vertical="center" wrapText="1"/>
    </xf>
    <xf numFmtId="173" fontId="60" fillId="0" borderId="20" xfId="62" applyFont="1" applyFill="1" applyBorder="1" applyAlignment="1">
      <alignment horizontal="center" vertical="center" wrapText="1"/>
    </xf>
    <xf numFmtId="43" fontId="59" fillId="0" borderId="0" xfId="0" applyNumberFormat="1" applyFont="1" applyFill="1" applyAlignment="1">
      <alignment/>
    </xf>
    <xf numFmtId="181" fontId="3" fillId="0" borderId="21" xfId="0" applyNumberFormat="1" applyFont="1" applyFill="1" applyBorder="1" applyAlignment="1">
      <alignment horizontal="center" vertical="center" wrapText="1"/>
    </xf>
    <xf numFmtId="173" fontId="3" fillId="0" borderId="34" xfId="62" applyFont="1" applyFill="1" applyBorder="1" applyAlignment="1">
      <alignment horizontal="center" vertical="center" wrapText="1"/>
    </xf>
    <xf numFmtId="173" fontId="3" fillId="0" borderId="21" xfId="62" applyFont="1" applyFill="1" applyBorder="1" applyAlignment="1">
      <alignment vertical="center"/>
    </xf>
    <xf numFmtId="43" fontId="3" fillId="0" borderId="21" xfId="62" applyNumberFormat="1" applyFont="1" applyFill="1" applyBorder="1" applyAlignment="1">
      <alignment horizontal="center" vertical="center"/>
    </xf>
    <xf numFmtId="43" fontId="3" fillId="0" borderId="21" xfId="0" applyNumberFormat="1" applyFont="1" applyFill="1" applyBorder="1" applyAlignment="1">
      <alignment horizontal="center" vertical="center"/>
    </xf>
    <xf numFmtId="43" fontId="3" fillId="0" borderId="16" xfId="0" applyNumberFormat="1" applyFont="1" applyFill="1" applyBorder="1" applyAlignment="1">
      <alignment horizontal="center" vertical="center"/>
    </xf>
    <xf numFmtId="173" fontId="60" fillId="0" borderId="0" xfId="0" applyNumberFormat="1" applyFont="1" applyFill="1" applyBorder="1" applyAlignment="1">
      <alignment/>
    </xf>
    <xf numFmtId="43" fontId="60" fillId="0" borderId="0" xfId="0" applyNumberFormat="1" applyFont="1" applyFill="1" applyBorder="1" applyAlignment="1">
      <alignment/>
    </xf>
    <xf numFmtId="173" fontId="59" fillId="0" borderId="35" xfId="62" applyFont="1" applyFill="1" applyBorder="1" applyAlignment="1">
      <alignment/>
    </xf>
    <xf numFmtId="173" fontId="59" fillId="0" borderId="36" xfId="62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/>
    </xf>
    <xf numFmtId="173" fontId="11" fillId="0" borderId="0" xfId="62" applyFont="1" applyFill="1" applyBorder="1" applyAlignment="1">
      <alignment horizontal="center" vertical="center"/>
    </xf>
    <xf numFmtId="190" fontId="12" fillId="0" borderId="0" xfId="62" applyNumberFormat="1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left" vertical="center" wrapText="1"/>
    </xf>
    <xf numFmtId="173" fontId="12" fillId="0" borderId="0" xfId="62" applyFont="1" applyFill="1" applyBorder="1" applyAlignment="1">
      <alignment horizontal="center" vertical="center"/>
    </xf>
    <xf numFmtId="2" fontId="65" fillId="0" borderId="0" xfId="0" applyNumberFormat="1" applyFont="1" applyFill="1" applyBorder="1" applyAlignment="1">
      <alignment/>
    </xf>
    <xf numFmtId="181" fontId="65" fillId="0" borderId="0" xfId="62" applyNumberFormat="1" applyFont="1" applyFill="1" applyBorder="1" applyAlignment="1">
      <alignment horizontal="center"/>
    </xf>
    <xf numFmtId="2" fontId="66" fillId="0" borderId="0" xfId="0" applyNumberFormat="1" applyFont="1" applyFill="1" applyBorder="1" applyAlignment="1">
      <alignment horizontal="left"/>
    </xf>
    <xf numFmtId="173" fontId="66" fillId="0" borderId="0" xfId="62" applyFont="1" applyFill="1" applyBorder="1" applyAlignment="1">
      <alignment horizontal="left"/>
    </xf>
    <xf numFmtId="0" fontId="67" fillId="0" borderId="0" xfId="0" applyFont="1" applyFill="1" applyBorder="1" applyAlignment="1">
      <alignment horizontal="center" wrapText="1"/>
    </xf>
    <xf numFmtId="173" fontId="59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43" fontId="59" fillId="0" borderId="0" xfId="0" applyNumberFormat="1" applyFont="1" applyFill="1" applyBorder="1" applyAlignment="1">
      <alignment/>
    </xf>
    <xf numFmtId="173" fontId="11" fillId="0" borderId="0" xfId="62" applyFont="1" applyFill="1" applyBorder="1" applyAlignment="1">
      <alignment/>
    </xf>
    <xf numFmtId="2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173" fontId="3" fillId="0" borderId="16" xfId="62" applyFont="1" applyFill="1" applyBorder="1" applyAlignment="1">
      <alignment/>
    </xf>
    <xf numFmtId="173" fontId="59" fillId="0" borderId="29" xfId="62" applyFont="1" applyFill="1" applyBorder="1" applyAlignment="1">
      <alignment horizontal="center" vertical="center" wrapText="1"/>
    </xf>
    <xf numFmtId="173" fontId="59" fillId="0" borderId="37" xfId="62" applyFont="1" applyFill="1" applyBorder="1" applyAlignment="1">
      <alignment/>
    </xf>
    <xf numFmtId="173" fontId="60" fillId="0" borderId="21" xfId="62" applyFont="1" applyFill="1" applyBorder="1" applyAlignment="1">
      <alignment/>
    </xf>
    <xf numFmtId="173" fontId="3" fillId="0" borderId="38" xfId="62" applyFont="1" applyFill="1" applyBorder="1" applyAlignment="1">
      <alignment horizontal="center" vertical="center" wrapText="1"/>
    </xf>
    <xf numFmtId="173" fontId="3" fillId="0" borderId="24" xfId="62" applyFont="1" applyFill="1" applyBorder="1" applyAlignment="1">
      <alignment horizontal="center" vertical="center" wrapText="1"/>
    </xf>
    <xf numFmtId="173" fontId="3" fillId="0" borderId="20" xfId="62" applyFont="1" applyFill="1" applyBorder="1" applyAlignment="1">
      <alignment horizontal="center" vertical="center" wrapText="1"/>
    </xf>
    <xf numFmtId="173" fontId="3" fillId="0" borderId="20" xfId="62" applyFont="1" applyFill="1" applyBorder="1" applyAlignment="1">
      <alignment/>
    </xf>
    <xf numFmtId="43" fontId="3" fillId="0" borderId="23" xfId="0" applyNumberFormat="1" applyFont="1" applyFill="1" applyBorder="1" applyAlignment="1">
      <alignment horizontal="center" vertical="center"/>
    </xf>
    <xf numFmtId="173" fontId="59" fillId="0" borderId="24" xfId="62" applyFont="1" applyFill="1" applyBorder="1" applyAlignment="1">
      <alignment/>
    </xf>
    <xf numFmtId="173" fontId="59" fillId="0" borderId="38" xfId="62" applyNumberFormat="1" applyFont="1" applyFill="1" applyBorder="1" applyAlignment="1">
      <alignment horizontal="center" vertical="center" wrapText="1"/>
    </xf>
    <xf numFmtId="173" fontId="59" fillId="0" borderId="13" xfId="62" applyFont="1" applyFill="1" applyBorder="1" applyAlignment="1">
      <alignment/>
    </xf>
    <xf numFmtId="173" fontId="59" fillId="0" borderId="14" xfId="62" applyFont="1" applyFill="1" applyBorder="1" applyAlignment="1">
      <alignment/>
    </xf>
    <xf numFmtId="173" fontId="59" fillId="0" borderId="24" xfId="62" applyNumberFormat="1" applyFont="1" applyFill="1" applyBorder="1" applyAlignment="1">
      <alignment horizontal="center" vertical="center" wrapText="1"/>
    </xf>
    <xf numFmtId="173" fontId="59" fillId="0" borderId="39" xfId="62" applyNumberFormat="1" applyFont="1" applyFill="1" applyBorder="1" applyAlignment="1">
      <alignment horizontal="center" vertical="center" wrapText="1"/>
    </xf>
    <xf numFmtId="173" fontId="59" fillId="0" borderId="15" xfId="62" applyFont="1" applyFill="1" applyBorder="1" applyAlignment="1">
      <alignment/>
    </xf>
    <xf numFmtId="173" fontId="59" fillId="0" borderId="16" xfId="62" applyFont="1" applyFill="1" applyBorder="1" applyAlignment="1">
      <alignment/>
    </xf>
    <xf numFmtId="173" fontId="3" fillId="0" borderId="13" xfId="62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173" fontId="3" fillId="0" borderId="39" xfId="62" applyFont="1" applyFill="1" applyBorder="1" applyAlignment="1">
      <alignment horizontal="center" vertical="center" wrapText="1"/>
    </xf>
    <xf numFmtId="43" fontId="3" fillId="0" borderId="20" xfId="0" applyNumberFormat="1" applyFont="1" applyFill="1" applyBorder="1" applyAlignment="1">
      <alignment horizontal="center" vertical="center"/>
    </xf>
    <xf numFmtId="173" fontId="3" fillId="0" borderId="14" xfId="62" applyFont="1" applyFill="1" applyBorder="1" applyAlignment="1">
      <alignment/>
    </xf>
    <xf numFmtId="173" fontId="3" fillId="0" borderId="32" xfId="62" applyFont="1" applyFill="1" applyBorder="1" applyAlignment="1">
      <alignment vertical="center"/>
    </xf>
    <xf numFmtId="173" fontId="3" fillId="0" borderId="20" xfId="62" applyFont="1" applyFill="1" applyBorder="1" applyAlignment="1">
      <alignment vertical="center"/>
    </xf>
    <xf numFmtId="173" fontId="3" fillId="0" borderId="15" xfId="62" applyFont="1" applyFill="1" applyBorder="1" applyAlignment="1">
      <alignment/>
    </xf>
    <xf numFmtId="0" fontId="3" fillId="0" borderId="33" xfId="0" applyFont="1" applyFill="1" applyBorder="1" applyAlignment="1">
      <alignment/>
    </xf>
    <xf numFmtId="43" fontId="3" fillId="0" borderId="13" xfId="62" applyNumberFormat="1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horizontal="center" vertical="center"/>
    </xf>
    <xf numFmtId="43" fontId="3" fillId="0" borderId="32" xfId="0" applyNumberFormat="1" applyFont="1" applyFill="1" applyBorder="1" applyAlignment="1">
      <alignment horizontal="center" vertical="center"/>
    </xf>
    <xf numFmtId="43" fontId="3" fillId="0" borderId="20" xfId="62" applyNumberFormat="1" applyFont="1" applyFill="1" applyBorder="1" applyAlignment="1">
      <alignment horizontal="center" vertical="center" wrapText="1"/>
    </xf>
    <xf numFmtId="43" fontId="3" fillId="0" borderId="20" xfId="62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173" fontId="59" fillId="0" borderId="33" xfId="62" applyFont="1" applyFill="1" applyBorder="1" applyAlignment="1">
      <alignment/>
    </xf>
    <xf numFmtId="173" fontId="59" fillId="0" borderId="40" xfId="62" applyFont="1" applyFill="1" applyBorder="1" applyAlignment="1">
      <alignment/>
    </xf>
    <xf numFmtId="173" fontId="60" fillId="0" borderId="15" xfId="62" applyFont="1" applyFill="1" applyBorder="1" applyAlignment="1">
      <alignment/>
    </xf>
    <xf numFmtId="173" fontId="59" fillId="0" borderId="39" xfId="62" applyFont="1" applyFill="1" applyBorder="1" applyAlignment="1">
      <alignment/>
    </xf>
    <xf numFmtId="0" fontId="59" fillId="0" borderId="23" xfId="0" applyFont="1" applyFill="1" applyBorder="1" applyAlignment="1">
      <alignment/>
    </xf>
    <xf numFmtId="173" fontId="3" fillId="0" borderId="41" xfId="62" applyFont="1" applyFill="1" applyBorder="1" applyAlignment="1">
      <alignment horizontal="center" vertical="center" wrapText="1"/>
    </xf>
    <xf numFmtId="43" fontId="3" fillId="0" borderId="32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173" fontId="60" fillId="0" borderId="35" xfId="6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center" wrapText="1"/>
    </xf>
    <xf numFmtId="43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0" fontId="3" fillId="0" borderId="4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right" vertical="center"/>
    </xf>
    <xf numFmtId="0" fontId="59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173" fontId="59" fillId="0" borderId="46" xfId="62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14" fontId="59" fillId="0" borderId="0" xfId="0" applyNumberFormat="1" applyFont="1" applyFill="1" applyAlignment="1">
      <alignment/>
    </xf>
    <xf numFmtId="173" fontId="59" fillId="0" borderId="0" xfId="0" applyNumberFormat="1" applyFont="1" applyFill="1" applyAlignment="1">
      <alignment/>
    </xf>
    <xf numFmtId="0" fontId="60" fillId="0" borderId="43" xfId="0" applyFont="1" applyFill="1" applyBorder="1" applyAlignment="1">
      <alignment horizontal="center"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9" fillId="0" borderId="24" xfId="0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wrapText="1"/>
    </xf>
    <xf numFmtId="0" fontId="59" fillId="0" borderId="47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0" fontId="59" fillId="0" borderId="51" xfId="0" applyFont="1" applyFill="1" applyBorder="1" applyAlignment="1">
      <alignment wrapText="1"/>
    </xf>
    <xf numFmtId="0" fontId="59" fillId="0" borderId="53" xfId="0" applyFont="1" applyFill="1" applyBorder="1" applyAlignment="1">
      <alignment/>
    </xf>
    <xf numFmtId="181" fontId="59" fillId="0" borderId="20" xfId="62" applyNumberFormat="1" applyFont="1" applyFill="1" applyBorder="1" applyAlignment="1">
      <alignment horizontal="center"/>
    </xf>
    <xf numFmtId="181" fontId="59" fillId="0" borderId="21" xfId="62" applyNumberFormat="1" applyFont="1" applyFill="1" applyBorder="1" applyAlignment="1">
      <alignment horizontal="center"/>
    </xf>
    <xf numFmtId="181" fontId="59" fillId="0" borderId="54" xfId="62" applyNumberFormat="1" applyFont="1" applyFill="1" applyBorder="1" applyAlignment="1">
      <alignment horizontal="center"/>
    </xf>
    <xf numFmtId="181" fontId="59" fillId="0" borderId="35" xfId="62" applyNumberFormat="1" applyFont="1" applyFill="1" applyBorder="1" applyAlignment="1">
      <alignment horizontal="center"/>
    </xf>
    <xf numFmtId="181" fontId="59" fillId="0" borderId="24" xfId="62" applyNumberFormat="1" applyFont="1" applyFill="1" applyBorder="1" applyAlignment="1">
      <alignment horizontal="center"/>
    </xf>
    <xf numFmtId="181" fontId="59" fillId="0" borderId="23" xfId="62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2" fontId="59" fillId="0" borderId="32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/>
    </xf>
    <xf numFmtId="0" fontId="59" fillId="0" borderId="32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wrapText="1"/>
    </xf>
    <xf numFmtId="0" fontId="68" fillId="0" borderId="20" xfId="0" applyFont="1" applyFill="1" applyBorder="1" applyAlignment="1">
      <alignment horizontal="center"/>
    </xf>
    <xf numFmtId="0" fontId="68" fillId="0" borderId="21" xfId="0" applyFont="1" applyFill="1" applyBorder="1" applyAlignment="1">
      <alignment horizontal="center"/>
    </xf>
    <xf numFmtId="0" fontId="68" fillId="0" borderId="23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0" fontId="68" fillId="0" borderId="24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 vertical="center" wrapText="1"/>
    </xf>
    <xf numFmtId="3" fontId="59" fillId="0" borderId="21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3" fontId="59" fillId="0" borderId="20" xfId="0" applyNumberFormat="1" applyFont="1" applyFill="1" applyBorder="1" applyAlignment="1">
      <alignment horizontal="center" vertical="center" wrapText="1"/>
    </xf>
    <xf numFmtId="173" fontId="59" fillId="0" borderId="55" xfId="0" applyNumberFormat="1" applyFont="1" applyFill="1" applyBorder="1" applyAlignment="1">
      <alignment/>
    </xf>
    <xf numFmtId="173" fontId="59" fillId="0" borderId="53" xfId="62" applyFont="1" applyFill="1" applyBorder="1" applyAlignment="1">
      <alignment/>
    </xf>
    <xf numFmtId="173" fontId="59" fillId="0" borderId="20" xfId="0" applyNumberFormat="1" applyFont="1" applyFill="1" applyBorder="1" applyAlignment="1">
      <alignment/>
    </xf>
    <xf numFmtId="173" fontId="59" fillId="0" borderId="21" xfId="0" applyNumberFormat="1" applyFont="1" applyFill="1" applyBorder="1" applyAlignment="1">
      <alignment/>
    </xf>
    <xf numFmtId="173" fontId="59" fillId="0" borderId="23" xfId="0" applyNumberFormat="1" applyFont="1" applyFill="1" applyBorder="1" applyAlignment="1">
      <alignment/>
    </xf>
    <xf numFmtId="173" fontId="59" fillId="0" borderId="35" xfId="0" applyNumberFormat="1" applyFont="1" applyFill="1" applyBorder="1" applyAlignment="1">
      <alignment/>
    </xf>
    <xf numFmtId="173" fontId="59" fillId="0" borderId="24" xfId="0" applyNumberFormat="1" applyFont="1" applyFill="1" applyBorder="1" applyAlignment="1">
      <alignment/>
    </xf>
    <xf numFmtId="173" fontId="59" fillId="0" borderId="20" xfId="62" applyFont="1" applyFill="1" applyBorder="1" applyAlignment="1">
      <alignment horizontal="center" vertical="center" wrapText="1"/>
    </xf>
    <xf numFmtId="173" fontId="59" fillId="0" borderId="21" xfId="62" applyFont="1" applyFill="1" applyBorder="1" applyAlignment="1">
      <alignment horizontal="center" vertical="center" wrapText="1"/>
    </xf>
    <xf numFmtId="173" fontId="59" fillId="0" borderId="23" xfId="62" applyFont="1" applyFill="1" applyBorder="1" applyAlignment="1">
      <alignment horizontal="center" vertical="center" wrapText="1"/>
    </xf>
    <xf numFmtId="43" fontId="59" fillId="0" borderId="56" xfId="0" applyNumberFormat="1" applyFont="1" applyFill="1" applyBorder="1" applyAlignment="1">
      <alignment horizontal="center" vertical="center" wrapText="1"/>
    </xf>
    <xf numFmtId="173" fontId="59" fillId="0" borderId="57" xfId="62" applyFont="1" applyFill="1" applyBorder="1" applyAlignment="1">
      <alignment horizontal="center" vertical="center" wrapText="1"/>
    </xf>
    <xf numFmtId="173" fontId="62" fillId="0" borderId="58" xfId="62" applyFont="1" applyFill="1" applyBorder="1" applyAlignment="1">
      <alignment/>
    </xf>
    <xf numFmtId="173" fontId="60" fillId="0" borderId="53" xfId="62" applyFont="1" applyFill="1" applyBorder="1" applyAlignment="1">
      <alignment/>
    </xf>
    <xf numFmtId="173" fontId="60" fillId="0" borderId="35" xfId="62" applyFont="1" applyFill="1" applyBorder="1" applyAlignment="1">
      <alignment/>
    </xf>
    <xf numFmtId="173" fontId="60" fillId="0" borderId="24" xfId="62" applyFont="1" applyFill="1" applyBorder="1" applyAlignment="1">
      <alignment/>
    </xf>
    <xf numFmtId="173" fontId="60" fillId="0" borderId="13" xfId="62" applyFont="1" applyFill="1" applyBorder="1" applyAlignment="1">
      <alignment horizontal="center" vertical="center" wrapText="1"/>
    </xf>
    <xf numFmtId="173" fontId="60" fillId="0" borderId="14" xfId="62" applyFont="1" applyFill="1" applyBorder="1" applyAlignment="1">
      <alignment horizontal="center" vertical="center" wrapText="1"/>
    </xf>
    <xf numFmtId="173" fontId="60" fillId="0" borderId="32" xfId="62" applyFont="1" applyFill="1" applyBorder="1" applyAlignment="1">
      <alignment horizontal="center" vertical="center" wrapText="1"/>
    </xf>
    <xf numFmtId="173" fontId="60" fillId="0" borderId="23" xfId="62" applyFont="1" applyFill="1" applyBorder="1" applyAlignment="1">
      <alignment/>
    </xf>
    <xf numFmtId="173" fontId="62" fillId="0" borderId="59" xfId="62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73" fontId="3" fillId="0" borderId="32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173" fontId="69" fillId="0" borderId="0" xfId="62" applyFont="1" applyFill="1" applyAlignment="1">
      <alignment/>
    </xf>
    <xf numFmtId="173" fontId="59" fillId="0" borderId="0" xfId="62" applyFont="1" applyFill="1" applyBorder="1" applyAlignment="1">
      <alignment/>
    </xf>
    <xf numFmtId="0" fontId="59" fillId="0" borderId="0" xfId="0" applyFont="1" applyFill="1" applyAlignment="1">
      <alignment wrapText="1"/>
    </xf>
    <xf numFmtId="43" fontId="3" fillId="0" borderId="0" xfId="0" applyNumberFormat="1" applyFont="1" applyFill="1" applyBorder="1" applyAlignment="1">
      <alignment/>
    </xf>
    <xf numFmtId="0" fontId="62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173" fontId="59" fillId="0" borderId="25" xfId="62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3" fontId="60" fillId="0" borderId="60" xfId="62" applyFont="1" applyFill="1" applyBorder="1" applyAlignment="1">
      <alignment/>
    </xf>
    <xf numFmtId="173" fontId="60" fillId="0" borderId="15" xfId="62" applyFont="1" applyFill="1" applyBorder="1" applyAlignment="1">
      <alignment horizontal="center" vertical="center" wrapText="1"/>
    </xf>
    <xf numFmtId="173" fontId="59" fillId="0" borderId="61" xfId="62" applyFont="1" applyFill="1" applyBorder="1" applyAlignment="1">
      <alignment/>
    </xf>
    <xf numFmtId="173" fontId="59" fillId="0" borderId="29" xfId="62" applyFont="1" applyFill="1" applyBorder="1" applyAlignment="1">
      <alignment/>
    </xf>
    <xf numFmtId="173" fontId="59" fillId="0" borderId="57" xfId="62" applyFont="1" applyFill="1" applyBorder="1" applyAlignment="1">
      <alignment/>
    </xf>
    <xf numFmtId="173" fontId="62" fillId="0" borderId="62" xfId="62" applyFont="1" applyFill="1" applyBorder="1" applyAlignment="1">
      <alignment/>
    </xf>
    <xf numFmtId="173" fontId="60" fillId="0" borderId="10" xfId="62" applyFont="1" applyFill="1" applyBorder="1" applyAlignment="1">
      <alignment/>
    </xf>
    <xf numFmtId="173" fontId="60" fillId="0" borderId="63" xfId="62" applyFont="1" applyFill="1" applyBorder="1" applyAlignment="1">
      <alignment/>
    </xf>
    <xf numFmtId="173" fontId="60" fillId="0" borderId="30" xfId="62" applyFont="1" applyFill="1" applyBorder="1" applyAlignment="1">
      <alignment/>
    </xf>
    <xf numFmtId="173" fontId="60" fillId="0" borderId="64" xfId="62" applyFont="1" applyFill="1" applyBorder="1" applyAlignment="1">
      <alignment/>
    </xf>
    <xf numFmtId="43" fontId="59" fillId="0" borderId="10" xfId="0" applyNumberFormat="1" applyFont="1" applyFill="1" applyBorder="1" applyAlignment="1">
      <alignment horizontal="center"/>
    </xf>
    <xf numFmtId="43" fontId="63" fillId="0" borderId="0" xfId="0" applyNumberFormat="1" applyFont="1" applyFill="1" applyAlignment="1">
      <alignment horizontal="center"/>
    </xf>
    <xf numFmtId="173" fontId="61" fillId="0" borderId="21" xfId="62" applyFont="1" applyFill="1" applyBorder="1" applyAlignment="1">
      <alignment/>
    </xf>
    <xf numFmtId="0" fontId="59" fillId="0" borderId="13" xfId="0" applyFont="1" applyFill="1" applyBorder="1" applyAlignment="1">
      <alignment/>
    </xf>
    <xf numFmtId="43" fontId="59" fillId="0" borderId="32" xfId="0" applyNumberFormat="1" applyFont="1" applyFill="1" applyBorder="1" applyAlignment="1">
      <alignment/>
    </xf>
    <xf numFmtId="0" fontId="59" fillId="0" borderId="20" xfId="0" applyNumberFormat="1" applyFont="1" applyFill="1" applyBorder="1" applyAlignment="1">
      <alignment/>
    </xf>
    <xf numFmtId="43" fontId="59" fillId="0" borderId="21" xfId="0" applyNumberFormat="1" applyFont="1" applyFill="1" applyBorder="1" applyAlignment="1">
      <alignment/>
    </xf>
    <xf numFmtId="0" fontId="3" fillId="0" borderId="21" xfId="0" applyFont="1" applyFill="1" applyBorder="1" applyAlignment="1" applyProtection="1">
      <alignment vertical="center" wrapText="1"/>
      <protection/>
    </xf>
    <xf numFmtId="173" fontId="3" fillId="0" borderId="21" xfId="62" applyFont="1" applyFill="1" applyBorder="1" applyAlignment="1" applyProtection="1">
      <alignment vertical="center" wrapText="1"/>
      <protection/>
    </xf>
    <xf numFmtId="0" fontId="59" fillId="0" borderId="19" xfId="0" applyFont="1" applyFill="1" applyBorder="1" applyAlignment="1">
      <alignment/>
    </xf>
    <xf numFmtId="43" fontId="59" fillId="0" borderId="15" xfId="0" applyNumberFormat="1" applyFont="1" applyFill="1" applyBorder="1" applyAlignment="1">
      <alignment/>
    </xf>
    <xf numFmtId="43" fontId="59" fillId="0" borderId="33" xfId="0" applyNumberFormat="1" applyFont="1" applyFill="1" applyBorder="1" applyAlignment="1">
      <alignment/>
    </xf>
    <xf numFmtId="0" fontId="3" fillId="0" borderId="63" xfId="0" applyFont="1" applyFill="1" applyBorder="1" applyAlignment="1">
      <alignment horizontal="center" vertical="center" wrapText="1"/>
    </xf>
    <xf numFmtId="43" fontId="3" fillId="0" borderId="27" xfId="0" applyNumberFormat="1" applyFont="1" applyFill="1" applyBorder="1" applyAlignment="1">
      <alignment horizontal="center" vertical="center" wrapText="1"/>
    </xf>
    <xf numFmtId="173" fontId="3" fillId="0" borderId="65" xfId="0" applyNumberFormat="1" applyFont="1" applyFill="1" applyBorder="1" applyAlignment="1">
      <alignment horizontal="center" vertical="center" wrapText="1"/>
    </xf>
    <xf numFmtId="43" fontId="63" fillId="0" borderId="0" xfId="0" applyNumberFormat="1" applyFont="1" applyFill="1" applyAlignment="1">
      <alignment/>
    </xf>
    <xf numFmtId="182" fontId="59" fillId="0" borderId="0" xfId="0" applyNumberFormat="1" applyFont="1" applyFill="1" applyAlignment="1">
      <alignment/>
    </xf>
    <xf numFmtId="173" fontId="59" fillId="0" borderId="0" xfId="62" applyFont="1" applyFill="1" applyBorder="1" applyAlignment="1">
      <alignment/>
    </xf>
    <xf numFmtId="0" fontId="4" fillId="0" borderId="0" xfId="0" applyFont="1" applyFill="1" applyBorder="1" applyAlignment="1">
      <alignment/>
    </xf>
    <xf numFmtId="173" fontId="3" fillId="0" borderId="0" xfId="62" applyFont="1" applyFill="1" applyBorder="1" applyAlignment="1">
      <alignment horizontal="center"/>
    </xf>
    <xf numFmtId="182" fontId="5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" fontId="3" fillId="0" borderId="0" xfId="0" applyNumberFormat="1" applyFont="1" applyFill="1" applyBorder="1" applyAlignment="1">
      <alignment vertical="top"/>
    </xf>
    <xf numFmtId="173" fontId="3" fillId="0" borderId="0" xfId="62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justify" vertical="center"/>
    </xf>
    <xf numFmtId="0" fontId="3" fillId="0" borderId="46" xfId="0" applyFont="1" applyFill="1" applyBorder="1" applyAlignment="1">
      <alignment/>
    </xf>
    <xf numFmtId="173" fontId="3" fillId="0" borderId="14" xfId="0" applyNumberFormat="1" applyFont="1" applyFill="1" applyBorder="1" applyAlignment="1">
      <alignment horizontal="left" vertical="center" wrapText="1"/>
    </xf>
    <xf numFmtId="173" fontId="3" fillId="0" borderId="32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73" fontId="3" fillId="0" borderId="41" xfId="0" applyNumberFormat="1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173" fontId="3" fillId="0" borderId="6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4" fillId="0" borderId="22" xfId="62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vertical="center" wrapText="1"/>
    </xf>
    <xf numFmtId="181" fontId="59" fillId="0" borderId="0" xfId="62" applyNumberFormat="1" applyFont="1" applyFill="1" applyAlignment="1">
      <alignment/>
    </xf>
    <xf numFmtId="0" fontId="59" fillId="0" borderId="18" xfId="0" applyFont="1" applyFill="1" applyBorder="1" applyAlignment="1">
      <alignment/>
    </xf>
    <xf numFmtId="43" fontId="59" fillId="0" borderId="12" xfId="0" applyNumberFormat="1" applyFont="1" applyFill="1" applyBorder="1" applyAlignment="1">
      <alignment/>
    </xf>
    <xf numFmtId="0" fontId="3" fillId="0" borderId="46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173" fontId="3" fillId="0" borderId="52" xfId="62" applyFont="1" applyFill="1" applyBorder="1" applyAlignment="1">
      <alignment horizontal="center" vertical="center" wrapText="1"/>
    </xf>
    <xf numFmtId="173" fontId="3" fillId="0" borderId="13" xfId="62" applyFont="1" applyFill="1" applyBorder="1" applyAlignment="1">
      <alignment vertical="center" wrapText="1"/>
    </xf>
    <xf numFmtId="173" fontId="3" fillId="0" borderId="32" xfId="62" applyFont="1" applyFill="1" applyBorder="1" applyAlignment="1">
      <alignment vertical="center" wrapText="1"/>
    </xf>
    <xf numFmtId="43" fontId="59" fillId="0" borderId="11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 horizontal="center" vertical="center" wrapText="1"/>
    </xf>
    <xf numFmtId="173" fontId="3" fillId="0" borderId="15" xfId="62" applyFont="1" applyFill="1" applyBorder="1" applyAlignment="1">
      <alignment vertical="center" wrapText="1"/>
    </xf>
    <xf numFmtId="173" fontId="3" fillId="0" borderId="33" xfId="62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11" xfId="62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/>
    </xf>
    <xf numFmtId="182" fontId="59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center" vertical="top"/>
    </xf>
    <xf numFmtId="4" fontId="59" fillId="0" borderId="0" xfId="0" applyNumberFormat="1" applyFont="1" applyFill="1" applyBorder="1" applyAlignment="1">
      <alignment/>
    </xf>
    <xf numFmtId="173" fontId="59" fillId="0" borderId="69" xfId="62" applyFont="1" applyFill="1" applyBorder="1" applyAlignment="1">
      <alignment/>
    </xf>
    <xf numFmtId="173" fontId="59" fillId="0" borderId="32" xfId="62" applyFont="1" applyFill="1" applyBorder="1" applyAlignment="1">
      <alignment/>
    </xf>
    <xf numFmtId="173" fontId="59" fillId="0" borderId="63" xfId="62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173" fontId="3" fillId="0" borderId="32" xfId="62" applyFont="1" applyFill="1" applyBorder="1" applyAlignment="1">
      <alignment horizontal="center" vertical="center"/>
    </xf>
    <xf numFmtId="43" fontId="3" fillId="0" borderId="24" xfId="0" applyNumberFormat="1" applyFont="1" applyFill="1" applyBorder="1" applyAlignment="1">
      <alignment/>
    </xf>
    <xf numFmtId="43" fontId="3" fillId="0" borderId="55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4" fontId="59" fillId="0" borderId="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 wrapText="1"/>
    </xf>
    <xf numFmtId="181" fontId="3" fillId="0" borderId="23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73" fontId="3" fillId="0" borderId="71" xfId="62" applyFont="1" applyFill="1" applyBorder="1" applyAlignment="1">
      <alignment horizontal="center" vertical="center" wrapText="1"/>
    </xf>
    <xf numFmtId="173" fontId="3" fillId="0" borderId="70" xfId="62" applyFont="1" applyFill="1" applyBorder="1" applyAlignment="1">
      <alignment horizontal="center" vertical="center" wrapText="1"/>
    </xf>
    <xf numFmtId="181" fontId="3" fillId="0" borderId="72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 applyProtection="1">
      <alignment horizontal="center" vertical="top"/>
      <protection/>
    </xf>
    <xf numFmtId="182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68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173" fontId="59" fillId="0" borderId="21" xfId="0" applyNumberFormat="1" applyFont="1" applyFill="1" applyBorder="1" applyAlignment="1">
      <alignment horizontal="center" wrapText="1"/>
    </xf>
    <xf numFmtId="188" fontId="59" fillId="0" borderId="21" xfId="0" applyNumberFormat="1" applyFont="1" applyFill="1" applyBorder="1" applyAlignment="1">
      <alignment horizontal="center" wrapText="1"/>
    </xf>
    <xf numFmtId="173" fontId="3" fillId="0" borderId="32" xfId="62" applyFont="1" applyFill="1" applyBorder="1" applyAlignment="1">
      <alignment horizontal="center" vertical="center" wrapText="1"/>
    </xf>
    <xf numFmtId="173" fontId="3" fillId="0" borderId="0" xfId="62" applyFont="1" applyFill="1" applyBorder="1" applyAlignment="1">
      <alignment/>
    </xf>
    <xf numFmtId="2" fontId="59" fillId="0" borderId="21" xfId="0" applyNumberFormat="1" applyFont="1" applyFill="1" applyBorder="1" applyAlignment="1">
      <alignment horizontal="center" wrapText="1"/>
    </xf>
    <xf numFmtId="173" fontId="3" fillId="0" borderId="23" xfId="62" applyFont="1" applyFill="1" applyBorder="1" applyAlignment="1">
      <alignment horizontal="center" vertical="center" wrapText="1"/>
    </xf>
    <xf numFmtId="173" fontId="3" fillId="0" borderId="23" xfId="62" applyFont="1" applyFill="1" applyBorder="1" applyAlignment="1">
      <alignment horizontal="center" vertical="center"/>
    </xf>
    <xf numFmtId="173" fontId="3" fillId="0" borderId="33" xfId="62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4" fillId="0" borderId="0" xfId="62" applyFont="1" applyFill="1" applyBorder="1" applyAlignment="1">
      <alignment horizontal="center" vertical="center" wrapText="1"/>
    </xf>
    <xf numFmtId="173" fontId="59" fillId="0" borderId="70" xfId="62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3" fontId="3" fillId="0" borderId="38" xfId="62" applyNumberFormat="1" applyFont="1" applyFill="1" applyBorder="1" applyAlignment="1">
      <alignment horizontal="center" vertical="center"/>
    </xf>
    <xf numFmtId="43" fontId="3" fillId="0" borderId="24" xfId="62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3" fontId="3" fillId="0" borderId="39" xfId="62" applyNumberFormat="1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/>
    </xf>
    <xf numFmtId="43" fontId="3" fillId="0" borderId="33" xfId="0" applyNumberFormat="1" applyFont="1" applyFill="1" applyBorder="1" applyAlignment="1">
      <alignment horizontal="center" vertical="center"/>
    </xf>
    <xf numFmtId="173" fontId="4" fillId="0" borderId="11" xfId="62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81" fontId="59" fillId="0" borderId="0" xfId="62" applyNumberFormat="1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59" fillId="0" borderId="11" xfId="0" applyFont="1" applyFill="1" applyBorder="1" applyAlignment="1">
      <alignment wrapText="1"/>
    </xf>
    <xf numFmtId="173" fontId="3" fillId="0" borderId="14" xfId="0" applyNumberFormat="1" applyFont="1" applyFill="1" applyBorder="1" applyAlignment="1">
      <alignment/>
    </xf>
    <xf numFmtId="173" fontId="59" fillId="0" borderId="14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173" fontId="3" fillId="0" borderId="15" xfId="62" applyFont="1" applyFill="1" applyBorder="1" applyAlignment="1">
      <alignment horizontal="center" vertical="center" wrapText="1"/>
    </xf>
    <xf numFmtId="173" fontId="3" fillId="0" borderId="16" xfId="0" applyNumberFormat="1" applyFont="1" applyFill="1" applyBorder="1" applyAlignment="1">
      <alignment/>
    </xf>
    <xf numFmtId="43" fontId="3" fillId="0" borderId="33" xfId="0" applyNumberFormat="1" applyFont="1" applyFill="1" applyBorder="1" applyAlignment="1">
      <alignment/>
    </xf>
    <xf numFmtId="181" fontId="3" fillId="0" borderId="0" xfId="62" applyNumberFormat="1" applyFont="1" applyFill="1" applyAlignment="1">
      <alignment horizontal="center"/>
    </xf>
    <xf numFmtId="173" fontId="3" fillId="0" borderId="22" xfId="0" applyNumberFormat="1" applyFont="1" applyFill="1" applyBorder="1" applyAlignment="1">
      <alignment horizontal="center" vertical="center" wrapText="1"/>
    </xf>
    <xf numFmtId="173" fontId="3" fillId="0" borderId="0" xfId="62" applyFont="1" applyFill="1" applyAlignment="1">
      <alignment/>
    </xf>
    <xf numFmtId="0" fontId="59" fillId="0" borderId="44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75" xfId="0" applyFont="1" applyFill="1" applyBorder="1" applyAlignment="1">
      <alignment wrapText="1"/>
    </xf>
    <xf numFmtId="0" fontId="59" fillId="0" borderId="75" xfId="0" applyFont="1" applyFill="1" applyBorder="1" applyAlignment="1">
      <alignment/>
    </xf>
    <xf numFmtId="0" fontId="0" fillId="0" borderId="75" xfId="0" applyFill="1" applyBorder="1" applyAlignment="1">
      <alignment/>
    </xf>
    <xf numFmtId="173" fontId="59" fillId="0" borderId="22" xfId="62" applyFont="1" applyFill="1" applyBorder="1" applyAlignment="1">
      <alignment/>
    </xf>
    <xf numFmtId="0" fontId="0" fillId="0" borderId="0" xfId="0" applyFill="1" applyAlignment="1">
      <alignment/>
    </xf>
    <xf numFmtId="173" fontId="59" fillId="0" borderId="0" xfId="0" applyNumberFormat="1" applyFont="1" applyFill="1" applyAlignment="1">
      <alignment wrapText="1"/>
    </xf>
    <xf numFmtId="43" fontId="60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173" fontId="3" fillId="0" borderId="51" xfId="62" applyFont="1" applyFill="1" applyBorder="1" applyAlignment="1">
      <alignment horizontal="center" vertical="center" wrapText="1"/>
    </xf>
    <xf numFmtId="173" fontId="3" fillId="0" borderId="54" xfId="62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43" fontId="3" fillId="0" borderId="47" xfId="0" applyNumberFormat="1" applyFont="1" applyFill="1" applyBorder="1" applyAlignment="1">
      <alignment horizontal="center" vertical="center" wrapText="1"/>
    </xf>
    <xf numFmtId="173" fontId="3" fillId="0" borderId="52" xfId="62" applyFont="1" applyFill="1" applyBorder="1" applyAlignment="1">
      <alignment horizontal="center" vertical="center" wrapText="1"/>
    </xf>
    <xf numFmtId="173" fontId="3" fillId="0" borderId="26" xfId="62" applyFont="1" applyFill="1" applyBorder="1" applyAlignment="1">
      <alignment horizontal="center" vertical="center" wrapText="1"/>
    </xf>
    <xf numFmtId="173" fontId="3" fillId="0" borderId="50" xfId="62" applyFont="1" applyFill="1" applyBorder="1" applyAlignment="1">
      <alignment horizontal="center" vertical="center" wrapText="1"/>
    </xf>
    <xf numFmtId="173" fontId="3" fillId="0" borderId="76" xfId="62" applyFont="1" applyFill="1" applyBorder="1" applyAlignment="1">
      <alignment horizontal="center" vertical="center" wrapText="1"/>
    </xf>
    <xf numFmtId="173" fontId="3" fillId="0" borderId="47" xfId="62" applyFont="1" applyFill="1" applyBorder="1" applyAlignment="1">
      <alignment horizontal="center" vertical="center" wrapText="1"/>
    </xf>
    <xf numFmtId="173" fontId="3" fillId="0" borderId="42" xfId="6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73" xfId="0" applyFont="1" applyFill="1" applyBorder="1" applyAlignment="1">
      <alignment horizontal="left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75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173" fontId="70" fillId="0" borderId="0" xfId="62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/>
    </xf>
    <xf numFmtId="0" fontId="60" fillId="0" borderId="43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8"/>
  <sheetViews>
    <sheetView tabSelected="1" zoomScale="47" zoomScaleNormal="47" zoomScalePageLayoutView="0" workbookViewId="0" topLeftCell="CB1">
      <selection activeCell="CB284" sqref="A1:IV16384"/>
    </sheetView>
  </sheetViews>
  <sheetFormatPr defaultColWidth="9.140625" defaultRowHeight="15"/>
  <cols>
    <col min="1" max="1" width="50.28125" style="1" hidden="1" customWidth="1"/>
    <col min="2" max="2" width="7.57421875" style="1" hidden="1" customWidth="1"/>
    <col min="3" max="3" width="25.421875" style="1" hidden="1" customWidth="1"/>
    <col min="4" max="4" width="25.8515625" style="1" hidden="1" customWidth="1"/>
    <col min="5" max="5" width="22.8515625" style="1" hidden="1" customWidth="1"/>
    <col min="6" max="6" width="25.00390625" style="1" hidden="1" customWidth="1"/>
    <col min="7" max="7" width="22.00390625" style="1" hidden="1" customWidth="1"/>
    <col min="8" max="8" width="20.140625" style="1" hidden="1" customWidth="1"/>
    <col min="9" max="9" width="21.7109375" style="1" hidden="1" customWidth="1"/>
    <col min="10" max="10" width="23.28125" style="1" hidden="1" customWidth="1"/>
    <col min="11" max="13" width="21.8515625" style="1" hidden="1" customWidth="1"/>
    <col min="14" max="14" width="31.00390625" style="1" hidden="1" customWidth="1"/>
    <col min="15" max="16" width="22.00390625" style="1" hidden="1" customWidth="1"/>
    <col min="17" max="17" width="23.421875" style="1" hidden="1" customWidth="1"/>
    <col min="18" max="18" width="30.8515625" style="1" hidden="1" customWidth="1"/>
    <col min="19" max="19" width="38.421875" style="1" hidden="1" customWidth="1"/>
    <col min="20" max="20" width="21.7109375" style="1" hidden="1" customWidth="1"/>
    <col min="21" max="21" width="23.7109375" style="1" hidden="1" customWidth="1"/>
    <col min="22" max="28" width="17.7109375" style="1" hidden="1" customWidth="1"/>
    <col min="29" max="29" width="22.421875" style="1" hidden="1" customWidth="1"/>
    <col min="30" max="30" width="21.8515625" style="1" hidden="1" customWidth="1"/>
    <col min="31" max="43" width="17.7109375" style="1" hidden="1" customWidth="1"/>
    <col min="44" max="44" width="23.00390625" style="1" hidden="1" customWidth="1"/>
    <col min="45" max="45" width="76.140625" style="29" hidden="1" customWidth="1"/>
    <col min="46" max="46" width="5.57421875" style="29" hidden="1" customWidth="1"/>
    <col min="47" max="47" width="17.421875" style="29" hidden="1" customWidth="1"/>
    <col min="48" max="48" width="13.421875" style="29" hidden="1" customWidth="1"/>
    <col min="49" max="49" width="15.7109375" style="29" hidden="1" customWidth="1"/>
    <col min="50" max="50" width="14.7109375" style="29" hidden="1" customWidth="1"/>
    <col min="51" max="55" width="9.140625" style="29" hidden="1" customWidth="1"/>
    <col min="56" max="56" width="14.7109375" style="29" hidden="1" customWidth="1"/>
    <col min="57" max="58" width="9.140625" style="29" hidden="1" customWidth="1"/>
    <col min="59" max="77" width="9.140625" style="1" hidden="1" customWidth="1"/>
    <col min="78" max="78" width="9.140625" style="29" hidden="1" customWidth="1"/>
    <col min="79" max="79" width="14.7109375" style="29" hidden="1" customWidth="1"/>
    <col min="80" max="80" width="14.7109375" style="29" customWidth="1"/>
    <col min="81" max="81" width="9.140625" style="29" customWidth="1"/>
    <col min="82" max="82" width="19.421875" style="1" customWidth="1"/>
    <col min="83" max="83" width="46.28125" style="271" customWidth="1"/>
    <col min="84" max="84" width="23.57421875" style="271" customWidth="1"/>
    <col min="85" max="85" width="23.8515625" style="271" customWidth="1"/>
    <col min="86" max="86" width="22.57421875" style="1" customWidth="1"/>
    <col min="87" max="87" width="21.8515625" style="1" customWidth="1"/>
    <col min="88" max="88" width="21.00390625" style="1" customWidth="1"/>
    <col min="89" max="89" width="24.57421875" style="1" customWidth="1"/>
    <col min="90" max="90" width="20.28125" style="1" customWidth="1"/>
    <col min="91" max="92" width="26.8515625" style="1" customWidth="1"/>
    <col min="93" max="93" width="24.00390625" style="426" customWidth="1"/>
    <col min="94" max="94" width="17.00390625" style="426" bestFit="1" customWidth="1"/>
    <col min="95" max="95" width="22.57421875" style="85" customWidth="1"/>
    <col min="96" max="96" width="23.7109375" style="85" hidden="1" customWidth="1"/>
    <col min="97" max="97" width="22.00390625" style="86" hidden="1" customWidth="1"/>
    <col min="98" max="98" width="22.140625" style="1" hidden="1" customWidth="1"/>
    <col min="99" max="99" width="22.421875" style="1" hidden="1" customWidth="1"/>
    <col min="100" max="101" width="9.140625" style="1" hidden="1" customWidth="1"/>
    <col min="102" max="102" width="15.421875" style="1" hidden="1" customWidth="1"/>
    <col min="103" max="111" width="9.140625" style="1" hidden="1" customWidth="1"/>
    <col min="112" max="116" width="0" style="1" hidden="1" customWidth="1"/>
    <col min="117" max="117" width="56.7109375" style="1" hidden="1" customWidth="1"/>
    <col min="118" max="16384" width="9.140625" style="1" customWidth="1"/>
  </cols>
  <sheetData>
    <row r="1" spans="15:98" ht="18.75">
      <c r="O1" s="1" t="s">
        <v>225</v>
      </c>
      <c r="CC1" s="189"/>
      <c r="CD1" s="190"/>
      <c r="CE1" s="191"/>
      <c r="CF1" s="191"/>
      <c r="CG1" s="191"/>
      <c r="CH1" s="192" t="s">
        <v>33</v>
      </c>
      <c r="CI1" s="193"/>
      <c r="CJ1" s="190"/>
      <c r="CK1" s="190"/>
      <c r="CL1" s="190"/>
      <c r="CM1" s="190"/>
      <c r="CN1" s="190"/>
      <c r="CO1" s="194"/>
      <c r="CP1" s="195"/>
      <c r="CQ1" s="196"/>
      <c r="CS1" s="85"/>
      <c r="CT1" s="86"/>
    </row>
    <row r="2" spans="5:98" ht="18.75">
      <c r="E2" s="104"/>
      <c r="I2" s="485" t="s">
        <v>317</v>
      </c>
      <c r="J2" s="485"/>
      <c r="K2" s="485"/>
      <c r="L2" s="485"/>
      <c r="O2" s="1" t="s">
        <v>226</v>
      </c>
      <c r="P2" s="1" t="s">
        <v>227</v>
      </c>
      <c r="CC2" s="55"/>
      <c r="CD2" s="43"/>
      <c r="CE2" s="46"/>
      <c r="CF2" s="46"/>
      <c r="CG2" s="46"/>
      <c r="CH2" s="43"/>
      <c r="CI2" s="43"/>
      <c r="CJ2" s="43"/>
      <c r="CK2" s="43"/>
      <c r="CL2" s="43"/>
      <c r="CM2" s="43"/>
      <c r="CN2" s="43"/>
      <c r="CO2" s="29"/>
      <c r="CP2" s="197"/>
      <c r="CQ2" s="84"/>
      <c r="CS2" s="85"/>
      <c r="CT2" s="86"/>
    </row>
    <row r="3" spans="1:98" ht="18.75">
      <c r="A3" s="1" t="s">
        <v>248</v>
      </c>
      <c r="E3" s="104">
        <f>E10+J10</f>
        <v>421105.14</v>
      </c>
      <c r="I3" s="485"/>
      <c r="J3" s="485"/>
      <c r="K3" s="485"/>
      <c r="L3" s="485"/>
      <c r="N3" s="1">
        <v>266</v>
      </c>
      <c r="O3" s="85">
        <v>83993.15</v>
      </c>
      <c r="P3" s="85">
        <v>0</v>
      </c>
      <c r="Q3" s="104">
        <f>P3+O3</f>
        <v>83993.15</v>
      </c>
      <c r="CC3" s="55"/>
      <c r="CD3" s="198"/>
      <c r="CE3" s="46"/>
      <c r="CF3" s="46"/>
      <c r="CG3" s="46"/>
      <c r="CH3" s="43"/>
      <c r="CI3" s="43"/>
      <c r="CJ3" s="43"/>
      <c r="CK3" s="43"/>
      <c r="CL3" s="43"/>
      <c r="CM3" s="43"/>
      <c r="CN3" s="43"/>
      <c r="CO3" s="29"/>
      <c r="CP3" s="197"/>
      <c r="CQ3" s="84"/>
      <c r="CS3" s="85"/>
      <c r="CT3" s="86"/>
    </row>
    <row r="4" spans="1:98" ht="19.5" thickBot="1">
      <c r="A4" s="199">
        <v>44195</v>
      </c>
      <c r="N4" s="1">
        <v>211</v>
      </c>
      <c r="O4" s="200">
        <f>O12-O3</f>
        <v>2138354.03</v>
      </c>
      <c r="P4" s="104">
        <f>P12-P3</f>
        <v>7043778.95</v>
      </c>
      <c r="Q4" s="104">
        <f>N12-Q3</f>
        <v>9182132.98</v>
      </c>
      <c r="CC4" s="55"/>
      <c r="CD4" s="486" t="s">
        <v>34</v>
      </c>
      <c r="CE4" s="486"/>
      <c r="CF4" s="486"/>
      <c r="CG4" s="486"/>
      <c r="CH4" s="486"/>
      <c r="CI4" s="486"/>
      <c r="CJ4" s="43"/>
      <c r="CK4" s="43"/>
      <c r="CL4" s="43"/>
      <c r="CM4" s="43"/>
      <c r="CN4" s="43"/>
      <c r="CO4" s="29"/>
      <c r="CP4" s="197"/>
      <c r="CQ4" s="84"/>
      <c r="CS4" s="85"/>
      <c r="CT4" s="86"/>
    </row>
    <row r="5" spans="4:98" ht="19.5" thickBot="1">
      <c r="D5" s="487" t="s">
        <v>5</v>
      </c>
      <c r="E5" s="488"/>
      <c r="F5" s="488"/>
      <c r="G5" s="488"/>
      <c r="H5" s="488"/>
      <c r="I5" s="488"/>
      <c r="J5" s="488"/>
      <c r="K5" s="488"/>
      <c r="L5" s="488"/>
      <c r="M5" s="488"/>
      <c r="N5" s="201" t="s">
        <v>8</v>
      </c>
      <c r="O5" s="201"/>
      <c r="P5" s="201"/>
      <c r="Q5" s="201"/>
      <c r="R5" s="489" t="s">
        <v>9</v>
      </c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CC5" s="55"/>
      <c r="CD5" s="486" t="s">
        <v>35</v>
      </c>
      <c r="CE5" s="486"/>
      <c r="CF5" s="486"/>
      <c r="CG5" s="486"/>
      <c r="CH5" s="486"/>
      <c r="CI5" s="486"/>
      <c r="CJ5" s="43"/>
      <c r="CK5" s="43"/>
      <c r="CL5" s="43"/>
      <c r="CM5" s="43"/>
      <c r="CN5" s="43"/>
      <c r="CO5" s="29"/>
      <c r="CP5" s="197"/>
      <c r="CQ5" s="84"/>
      <c r="CS5" s="85"/>
      <c r="CT5" s="86"/>
    </row>
    <row r="6" spans="1:98" ht="132.75" thickBot="1">
      <c r="A6" s="26" t="s">
        <v>26</v>
      </c>
      <c r="B6" s="202" t="s">
        <v>31</v>
      </c>
      <c r="C6" s="203" t="s">
        <v>1</v>
      </c>
      <c r="D6" s="204" t="s">
        <v>6</v>
      </c>
      <c r="E6" s="205" t="s">
        <v>172</v>
      </c>
      <c r="F6" s="206" t="s">
        <v>173</v>
      </c>
      <c r="G6" s="207" t="s">
        <v>174</v>
      </c>
      <c r="H6" s="208" t="s">
        <v>237</v>
      </c>
      <c r="I6" s="206" t="s">
        <v>175</v>
      </c>
      <c r="J6" s="209" t="s">
        <v>176</v>
      </c>
      <c r="K6" s="210" t="s">
        <v>177</v>
      </c>
      <c r="L6" s="206" t="s">
        <v>178</v>
      </c>
      <c r="M6" s="211" t="s">
        <v>234</v>
      </c>
      <c r="N6" s="212" t="s">
        <v>30</v>
      </c>
      <c r="O6" s="213" t="s">
        <v>11</v>
      </c>
      <c r="P6" s="213" t="s">
        <v>12</v>
      </c>
      <c r="Q6" s="214" t="s">
        <v>7</v>
      </c>
      <c r="R6" s="212" t="s">
        <v>278</v>
      </c>
      <c r="S6" s="213" t="s">
        <v>282</v>
      </c>
      <c r="T6" s="213"/>
      <c r="U6" s="215"/>
      <c r="V6" s="215"/>
      <c r="W6" s="213"/>
      <c r="X6" s="216"/>
      <c r="Y6" s="217"/>
      <c r="Z6" s="216"/>
      <c r="AA6" s="216"/>
      <c r="AB6" s="213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8" t="s">
        <v>28</v>
      </c>
      <c r="AS6" s="491"/>
      <c r="AT6" s="491"/>
      <c r="AU6" s="491"/>
      <c r="AV6" s="491"/>
      <c r="AW6" s="491"/>
      <c r="AX6" s="491"/>
      <c r="CC6" s="55"/>
      <c r="CD6" s="435" t="s">
        <v>251</v>
      </c>
      <c r="CE6" s="435"/>
      <c r="CF6" s="435"/>
      <c r="CG6" s="435"/>
      <c r="CH6" s="435"/>
      <c r="CI6" s="435"/>
      <c r="CJ6" s="43"/>
      <c r="CK6" s="43"/>
      <c r="CL6" s="43"/>
      <c r="CM6" s="43"/>
      <c r="CN6" s="43"/>
      <c r="CO6" s="29"/>
      <c r="CP6" s="197"/>
      <c r="CQ6" s="84"/>
      <c r="CS6" s="85"/>
      <c r="CT6" s="86"/>
    </row>
    <row r="7" spans="1:98" ht="18.75">
      <c r="A7" s="26" t="s">
        <v>14</v>
      </c>
      <c r="B7" s="26"/>
      <c r="C7" s="53"/>
      <c r="D7" s="219" t="s">
        <v>15</v>
      </c>
      <c r="E7" s="220">
        <v>130</v>
      </c>
      <c r="F7" s="221"/>
      <c r="G7" s="222">
        <v>130</v>
      </c>
      <c r="H7" s="223">
        <v>130</v>
      </c>
      <c r="I7" s="224">
        <v>120</v>
      </c>
      <c r="J7" s="220">
        <v>130</v>
      </c>
      <c r="K7" s="221"/>
      <c r="L7" s="221"/>
      <c r="M7" s="225"/>
      <c r="N7" s="226" t="s">
        <v>29</v>
      </c>
      <c r="O7" s="227" t="s">
        <v>29</v>
      </c>
      <c r="P7" s="228" t="s">
        <v>29</v>
      </c>
      <c r="Q7" s="229" t="s">
        <v>29</v>
      </c>
      <c r="R7" s="230">
        <v>906120152.09</v>
      </c>
      <c r="S7" s="228" t="s">
        <v>281</v>
      </c>
      <c r="T7" s="228">
        <v>90612015215</v>
      </c>
      <c r="U7" s="228"/>
      <c r="V7" s="228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2"/>
      <c r="CC7" s="55"/>
      <c r="CD7" s="48"/>
      <c r="CE7" s="46"/>
      <c r="CF7" s="233">
        <f>A4</f>
        <v>44195</v>
      </c>
      <c r="CG7" s="46"/>
      <c r="CH7" s="43"/>
      <c r="CI7" s="43"/>
      <c r="CJ7" s="43"/>
      <c r="CK7" s="43"/>
      <c r="CL7" s="43"/>
      <c r="CM7" s="43"/>
      <c r="CN7" s="43"/>
      <c r="CO7" s="29"/>
      <c r="CP7" s="197"/>
      <c r="CQ7" s="84"/>
      <c r="CS7" s="85"/>
      <c r="CT7" s="86"/>
    </row>
    <row r="8" spans="1:98" ht="18.75">
      <c r="A8" s="26" t="s">
        <v>16</v>
      </c>
      <c r="B8" s="26"/>
      <c r="C8" s="53"/>
      <c r="D8" s="219"/>
      <c r="E8" s="234" t="s">
        <v>23</v>
      </c>
      <c r="F8" s="235" t="s">
        <v>17</v>
      </c>
      <c r="G8" s="236" t="s">
        <v>170</v>
      </c>
      <c r="H8" s="237" t="s">
        <v>23</v>
      </c>
      <c r="I8" s="238" t="s">
        <v>23</v>
      </c>
      <c r="J8" s="234" t="s">
        <v>23</v>
      </c>
      <c r="K8" s="235" t="s">
        <v>162</v>
      </c>
      <c r="L8" s="235" t="s">
        <v>162</v>
      </c>
      <c r="M8" s="170"/>
      <c r="N8" s="239"/>
      <c r="O8" s="240"/>
      <c r="P8" s="241"/>
      <c r="Q8" s="242"/>
      <c r="R8" s="243"/>
      <c r="S8" s="241"/>
      <c r="T8" s="241"/>
      <c r="U8" s="241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170"/>
      <c r="CC8" s="55"/>
      <c r="CD8" s="48" t="s">
        <v>36</v>
      </c>
      <c r="CE8" s="46"/>
      <c r="CF8" s="46"/>
      <c r="CG8" s="46"/>
      <c r="CH8" s="43"/>
      <c r="CI8" s="43"/>
      <c r="CJ8" s="43"/>
      <c r="CK8" s="43"/>
      <c r="CL8" s="43"/>
      <c r="CM8" s="43"/>
      <c r="CN8" s="43"/>
      <c r="CO8" s="29"/>
      <c r="CP8" s="197"/>
      <c r="CQ8" s="84"/>
      <c r="CS8" s="85"/>
      <c r="CT8" s="86"/>
    </row>
    <row r="9" spans="1:98" ht="19.5" thickBot="1">
      <c r="A9" s="26" t="s">
        <v>0</v>
      </c>
      <c r="B9" s="26"/>
      <c r="C9" s="244">
        <f>D9+N9+AR9</f>
        <v>527533.29</v>
      </c>
      <c r="D9" s="245">
        <f>SUM(E9:M9)</f>
        <v>515844.65</v>
      </c>
      <c r="E9" s="246">
        <f>97240.76</f>
        <v>97240.76</v>
      </c>
      <c r="F9" s="247"/>
      <c r="G9" s="248">
        <f>412060.75</f>
        <v>412060.75</v>
      </c>
      <c r="H9" s="249"/>
      <c r="I9" s="250"/>
      <c r="J9" s="251">
        <f>5259.84</f>
        <v>5259.84</v>
      </c>
      <c r="K9" s="252">
        <f>1283.3</f>
        <v>1283.3</v>
      </c>
      <c r="L9" s="252"/>
      <c r="M9" s="253"/>
      <c r="N9" s="254">
        <f>SUM(O9:Q9)</f>
        <v>11688.64</v>
      </c>
      <c r="O9" s="135"/>
      <c r="P9" s="135">
        <f>1320.39+10368.25</f>
        <v>11688.64</v>
      </c>
      <c r="Q9" s="255"/>
      <c r="R9" s="251"/>
      <c r="S9" s="252"/>
      <c r="T9" s="252"/>
      <c r="U9" s="25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>
        <f aca="true" t="shared" si="0" ref="AR9:AR14">SUM(R9:AD9)</f>
        <v>0</v>
      </c>
      <c r="CC9" s="55"/>
      <c r="CD9" s="48"/>
      <c r="CE9" s="46"/>
      <c r="CF9" s="46"/>
      <c r="CG9" s="46"/>
      <c r="CH9" s="43"/>
      <c r="CI9" s="43"/>
      <c r="CJ9" s="43"/>
      <c r="CK9" s="43"/>
      <c r="CL9" s="43"/>
      <c r="CM9" s="43"/>
      <c r="CN9" s="43"/>
      <c r="CO9" s="29"/>
      <c r="CP9" s="197"/>
      <c r="CQ9" s="84"/>
      <c r="CS9" s="85"/>
      <c r="CT9" s="86"/>
    </row>
    <row r="10" spans="1:98" ht="19.5">
      <c r="A10" s="32" t="s">
        <v>2</v>
      </c>
      <c r="B10" s="63"/>
      <c r="C10" s="256">
        <f>D10+N10+AR10</f>
        <v>18335343.59</v>
      </c>
      <c r="D10" s="257">
        <f>SUM(E10:M10)</f>
        <v>3118106.17</v>
      </c>
      <c r="E10" s="103">
        <v>379809.98</v>
      </c>
      <c r="F10" s="137"/>
      <c r="G10" s="102">
        <v>2697001.03</v>
      </c>
      <c r="H10" s="258"/>
      <c r="I10" s="259"/>
      <c r="J10" s="103">
        <v>41295.16</v>
      </c>
      <c r="K10" s="101"/>
      <c r="L10" s="101"/>
      <c r="M10" s="102"/>
      <c r="N10" s="260">
        <f aca="true" t="shared" si="1" ref="N10:N24">SUM(O10:Q10)</f>
        <v>14772162.68</v>
      </c>
      <c r="O10" s="261">
        <f>O38+O39+O41+O45</f>
        <v>5366462.68</v>
      </c>
      <c r="P10" s="261">
        <f>O40+O44</f>
        <v>9171000</v>
      </c>
      <c r="Q10" s="262">
        <f>177000+28000+6000+20700+3000</f>
        <v>234700</v>
      </c>
      <c r="R10" s="175">
        <f>296356.74</f>
        <v>296356.74</v>
      </c>
      <c r="S10" s="101">
        <v>120600</v>
      </c>
      <c r="T10" s="101">
        <v>28118</v>
      </c>
      <c r="U10" s="101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263">
        <f t="shared" si="0"/>
        <v>445074.74</v>
      </c>
      <c r="AS10" s="127"/>
      <c r="AT10" s="127"/>
      <c r="AU10" s="127"/>
      <c r="AV10" s="127"/>
      <c r="AW10" s="127"/>
      <c r="AX10" s="127"/>
      <c r="CC10" s="55"/>
      <c r="CD10" s="464" t="s">
        <v>179</v>
      </c>
      <c r="CE10" s="464"/>
      <c r="CF10" s="464"/>
      <c r="CG10" s="464"/>
      <c r="CH10" s="464"/>
      <c r="CI10" s="43"/>
      <c r="CJ10" s="43"/>
      <c r="CK10" s="43"/>
      <c r="CL10" s="43"/>
      <c r="CM10" s="43"/>
      <c r="CN10" s="43"/>
      <c r="CO10" s="29"/>
      <c r="CP10" s="197"/>
      <c r="CQ10" s="84"/>
      <c r="CS10" s="85"/>
      <c r="CT10" s="86"/>
    </row>
    <row r="11" spans="1:98" ht="19.5">
      <c r="A11" s="32" t="s">
        <v>3</v>
      </c>
      <c r="B11" s="63"/>
      <c r="C11" s="264">
        <f>D11+N11+AR11</f>
        <v>0</v>
      </c>
      <c r="D11" s="257">
        <f>SUM(E11:M11)</f>
        <v>0</v>
      </c>
      <c r="E11" s="103"/>
      <c r="F11" s="137"/>
      <c r="G11" s="102"/>
      <c r="H11" s="258"/>
      <c r="I11" s="259"/>
      <c r="J11" s="103"/>
      <c r="K11" s="101"/>
      <c r="L11" s="101"/>
      <c r="M11" s="102"/>
      <c r="N11" s="103">
        <f t="shared" si="1"/>
        <v>0</v>
      </c>
      <c r="O11" s="101"/>
      <c r="P11" s="101"/>
      <c r="Q11" s="102"/>
      <c r="R11" s="175"/>
      <c r="S11" s="101"/>
      <c r="T11" s="101"/>
      <c r="U11" s="101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263">
        <f t="shared" si="0"/>
        <v>0</v>
      </c>
      <c r="AS11" s="127"/>
      <c r="AT11" s="127"/>
      <c r="AU11" s="127"/>
      <c r="AV11" s="127"/>
      <c r="AW11" s="127"/>
      <c r="AX11" s="127"/>
      <c r="CC11" s="55"/>
      <c r="CD11" s="464" t="s">
        <v>180</v>
      </c>
      <c r="CE11" s="464"/>
      <c r="CF11" s="464"/>
      <c r="CG11" s="464"/>
      <c r="CH11" s="464"/>
      <c r="CI11" s="43"/>
      <c r="CJ11" s="43"/>
      <c r="CK11" s="43"/>
      <c r="CL11" s="43"/>
      <c r="CM11" s="43"/>
      <c r="CN11" s="43"/>
      <c r="CO11" s="29"/>
      <c r="CP11" s="197"/>
      <c r="CQ11" s="84"/>
      <c r="CS11" s="85"/>
      <c r="CT11" s="86"/>
    </row>
    <row r="12" spans="1:98" ht="20.25" thickBot="1">
      <c r="A12" s="57" t="s">
        <v>18</v>
      </c>
      <c r="B12" s="58">
        <v>111</v>
      </c>
      <c r="C12" s="264">
        <f>D12+N12+AR12</f>
        <v>9417800.02</v>
      </c>
      <c r="D12" s="257">
        <f aca="true" t="shared" si="2" ref="D12:D23">SUM(E12:M12)</f>
        <v>151673.89</v>
      </c>
      <c r="E12" s="49">
        <v>151673.89</v>
      </c>
      <c r="F12" s="28"/>
      <c r="G12" s="31"/>
      <c r="H12" s="113"/>
      <c r="I12" s="143"/>
      <c r="J12" s="49"/>
      <c r="K12" s="28"/>
      <c r="L12" s="28"/>
      <c r="M12" s="31"/>
      <c r="N12" s="103">
        <f t="shared" si="1"/>
        <v>9266126.13</v>
      </c>
      <c r="O12" s="50">
        <v>2222347.18</v>
      </c>
      <c r="P12" s="28">
        <f>6836406+161290+16897.08+29185.87</f>
        <v>7043778.95</v>
      </c>
      <c r="Q12" s="31"/>
      <c r="R12" s="113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31">
        <f t="shared" si="0"/>
        <v>0</v>
      </c>
      <c r="AS12" s="57" t="s">
        <v>18</v>
      </c>
      <c r="AT12" s="58">
        <v>111</v>
      </c>
      <c r="AU12" s="127"/>
      <c r="AV12" s="127"/>
      <c r="AW12" s="127"/>
      <c r="AX12" s="127"/>
      <c r="BA12" s="30"/>
      <c r="BB12" s="30"/>
      <c r="CC12" s="55"/>
      <c r="CD12" s="51"/>
      <c r="CE12" s="46"/>
      <c r="CF12" s="46"/>
      <c r="CG12" s="46"/>
      <c r="CH12" s="43"/>
      <c r="CI12" s="43"/>
      <c r="CJ12" s="43"/>
      <c r="CK12" s="43"/>
      <c r="CL12" s="43"/>
      <c r="CM12" s="43"/>
      <c r="CN12" s="43"/>
      <c r="CO12" s="29"/>
      <c r="CP12" s="197"/>
      <c r="CQ12" s="84"/>
      <c r="CS12" s="85"/>
      <c r="CT12" s="86"/>
    </row>
    <row r="13" spans="1:98" ht="59.25" thickBot="1">
      <c r="A13" s="57" t="s">
        <v>244</v>
      </c>
      <c r="B13" s="58">
        <v>112</v>
      </c>
      <c r="C13" s="264">
        <f aca="true" t="shared" si="3" ref="C13:C30">D13+N13+AR13</f>
        <v>0</v>
      </c>
      <c r="D13" s="257">
        <f t="shared" si="2"/>
        <v>0</v>
      </c>
      <c r="E13" s="49"/>
      <c r="F13" s="28"/>
      <c r="G13" s="31"/>
      <c r="H13" s="113"/>
      <c r="I13" s="143"/>
      <c r="J13" s="49"/>
      <c r="K13" s="28"/>
      <c r="L13" s="28"/>
      <c r="M13" s="31"/>
      <c r="N13" s="103">
        <f t="shared" si="1"/>
        <v>0</v>
      </c>
      <c r="O13" s="50"/>
      <c r="P13" s="28"/>
      <c r="Q13" s="31"/>
      <c r="R13" s="113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>
        <f t="shared" si="0"/>
        <v>0</v>
      </c>
      <c r="AS13" s="57" t="s">
        <v>244</v>
      </c>
      <c r="AT13" s="58">
        <v>112</v>
      </c>
      <c r="AU13" s="127"/>
      <c r="AV13" s="127"/>
      <c r="AW13" s="127"/>
      <c r="AX13" s="127"/>
      <c r="BA13" s="30"/>
      <c r="BB13" s="30"/>
      <c r="BD13" s="127"/>
      <c r="CA13" s="127"/>
      <c r="CB13" s="127"/>
      <c r="CC13" s="59"/>
      <c r="CD13" s="43"/>
      <c r="CE13" s="176" t="s">
        <v>37</v>
      </c>
      <c r="CF13" s="46"/>
      <c r="CG13" s="46"/>
      <c r="CH13" s="43"/>
      <c r="CI13" s="43"/>
      <c r="CJ13" s="43"/>
      <c r="CK13" s="43"/>
      <c r="CL13" s="43"/>
      <c r="CM13" s="43"/>
      <c r="CN13" s="43"/>
      <c r="CO13" s="29"/>
      <c r="CP13" s="197"/>
      <c r="CQ13" s="84"/>
      <c r="CR13" s="173" t="s">
        <v>38</v>
      </c>
      <c r="CS13" s="85"/>
      <c r="CT13" s="86"/>
    </row>
    <row r="14" spans="1:98" ht="39.75" customHeight="1" thickBot="1">
      <c r="A14" s="57" t="s">
        <v>246</v>
      </c>
      <c r="B14" s="58">
        <v>119</v>
      </c>
      <c r="C14" s="264">
        <f t="shared" si="3"/>
        <v>2828950.74</v>
      </c>
      <c r="D14" s="257">
        <f t="shared" si="2"/>
        <v>45805.56</v>
      </c>
      <c r="E14" s="49">
        <v>45805.56</v>
      </c>
      <c r="F14" s="28"/>
      <c r="G14" s="31"/>
      <c r="H14" s="113"/>
      <c r="I14" s="143"/>
      <c r="J14" s="49"/>
      <c r="K14" s="28"/>
      <c r="L14" s="28"/>
      <c r="M14" s="31"/>
      <c r="N14" s="103">
        <f t="shared" si="1"/>
        <v>2783145.18</v>
      </c>
      <c r="O14" s="50">
        <v>644235.49</v>
      </c>
      <c r="P14" s="28">
        <f>2064594+P9+48710+5102.92+8814.13</f>
        <v>2138909.69</v>
      </c>
      <c r="Q14" s="31"/>
      <c r="R14" s="113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31">
        <f t="shared" si="0"/>
        <v>0</v>
      </c>
      <c r="AS14" s="57" t="s">
        <v>246</v>
      </c>
      <c r="AT14" s="58">
        <v>119</v>
      </c>
      <c r="AU14" s="127"/>
      <c r="AV14" s="127"/>
      <c r="AW14" s="127"/>
      <c r="AX14" s="127"/>
      <c r="BA14" s="30"/>
      <c r="BB14" s="30"/>
      <c r="CA14" s="127"/>
      <c r="CB14" s="127"/>
      <c r="CC14" s="59"/>
      <c r="CD14" s="476" t="s">
        <v>40</v>
      </c>
      <c r="CE14" s="477"/>
      <c r="CF14" s="477"/>
      <c r="CG14" s="476" t="s">
        <v>41</v>
      </c>
      <c r="CH14" s="478"/>
      <c r="CI14" s="442" t="s">
        <v>42</v>
      </c>
      <c r="CJ14" s="444"/>
      <c r="CK14" s="442" t="s">
        <v>43</v>
      </c>
      <c r="CL14" s="443"/>
      <c r="CM14" s="444"/>
      <c r="CN14" s="43"/>
      <c r="CO14" s="29"/>
      <c r="CP14" s="197"/>
      <c r="CQ14" s="84"/>
      <c r="CS14" s="85">
        <v>6242000</v>
      </c>
      <c r="CT14" s="86">
        <f>2929000</f>
        <v>2929000</v>
      </c>
    </row>
    <row r="15" spans="1:98" ht="20.25" customHeight="1" thickBot="1">
      <c r="A15" s="57" t="s">
        <v>19</v>
      </c>
      <c r="B15" s="53">
        <v>244</v>
      </c>
      <c r="C15" s="264">
        <f t="shared" si="3"/>
        <v>43612.64</v>
      </c>
      <c r="D15" s="257">
        <f t="shared" si="2"/>
        <v>2146.67</v>
      </c>
      <c r="E15" s="49">
        <v>2146.67</v>
      </c>
      <c r="F15" s="28"/>
      <c r="G15" s="31"/>
      <c r="H15" s="113"/>
      <c r="I15" s="143"/>
      <c r="J15" s="49"/>
      <c r="K15" s="28"/>
      <c r="L15" s="28"/>
      <c r="M15" s="31"/>
      <c r="N15" s="103">
        <f t="shared" si="1"/>
        <v>41465.97</v>
      </c>
      <c r="O15" s="28">
        <f>41465.97</f>
        <v>41465.97</v>
      </c>
      <c r="P15" s="28"/>
      <c r="Q15" s="31"/>
      <c r="R15" s="113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57" t="s">
        <v>19</v>
      </c>
      <c r="AT15" s="58">
        <v>244</v>
      </c>
      <c r="AW15" s="127"/>
      <c r="AX15" s="127"/>
      <c r="CA15" s="127"/>
      <c r="CB15" s="127"/>
      <c r="CC15" s="59"/>
      <c r="CD15" s="476" t="s">
        <v>181</v>
      </c>
      <c r="CE15" s="477"/>
      <c r="CF15" s="52" t="s">
        <v>11</v>
      </c>
      <c r="CG15" s="476" t="s">
        <v>181</v>
      </c>
      <c r="CH15" s="478"/>
      <c r="CI15" s="479"/>
      <c r="CJ15" s="480"/>
      <c r="CK15" s="479"/>
      <c r="CL15" s="481"/>
      <c r="CM15" s="480"/>
      <c r="CN15" s="43"/>
      <c r="CO15" s="29"/>
      <c r="CP15" s="197"/>
      <c r="CQ15" s="84"/>
      <c r="CS15" s="28">
        <f>CS14/1.302/12</f>
        <v>399513.57</v>
      </c>
      <c r="CT15" s="28">
        <f>CT14/1.302/12</f>
        <v>187468</v>
      </c>
    </row>
    <row r="16" spans="1:98" ht="19.5">
      <c r="A16" s="57" t="s">
        <v>20</v>
      </c>
      <c r="B16" s="53">
        <v>244</v>
      </c>
      <c r="C16" s="264">
        <f t="shared" si="3"/>
        <v>1083968.94</v>
      </c>
      <c r="D16" s="257">
        <f t="shared" si="2"/>
        <v>19968.94</v>
      </c>
      <c r="E16" s="49">
        <v>19968.94</v>
      </c>
      <c r="F16" s="28"/>
      <c r="G16" s="31"/>
      <c r="H16" s="113"/>
      <c r="I16" s="143"/>
      <c r="J16" s="49"/>
      <c r="K16" s="28"/>
      <c r="L16" s="28"/>
      <c r="M16" s="31"/>
      <c r="N16" s="103">
        <f t="shared" si="1"/>
        <v>1064000</v>
      </c>
      <c r="O16" s="50">
        <f>1141000-57000-20000</f>
        <v>1064000</v>
      </c>
      <c r="P16" s="28"/>
      <c r="Q16" s="31"/>
      <c r="R16" s="113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31">
        <f>SUM(R16:AD16)</f>
        <v>0</v>
      </c>
      <c r="AS16" s="57" t="s">
        <v>20</v>
      </c>
      <c r="AT16" s="58">
        <v>244</v>
      </c>
      <c r="AV16" s="127"/>
      <c r="AW16" s="127"/>
      <c r="AX16" s="127"/>
      <c r="CA16" s="127"/>
      <c r="CB16" s="127"/>
      <c r="CC16" s="55"/>
      <c r="CD16" s="442" t="s">
        <v>182</v>
      </c>
      <c r="CE16" s="444"/>
      <c r="CF16" s="483" t="s">
        <v>183</v>
      </c>
      <c r="CG16" s="442" t="s">
        <v>184</v>
      </c>
      <c r="CH16" s="444"/>
      <c r="CI16" s="479"/>
      <c r="CJ16" s="480"/>
      <c r="CK16" s="479"/>
      <c r="CL16" s="481"/>
      <c r="CM16" s="480"/>
      <c r="CN16" s="43"/>
      <c r="CO16" s="29"/>
      <c r="CP16" s="197"/>
      <c r="CQ16" s="84"/>
      <c r="CS16" s="85">
        <f>CS14/1.302</f>
        <v>4794162.83</v>
      </c>
      <c r="CT16" s="85">
        <f>CT14/1.302</f>
        <v>2249615.98</v>
      </c>
    </row>
    <row r="17" spans="1:98" ht="39.75" thickBot="1">
      <c r="A17" s="57" t="s">
        <v>242</v>
      </c>
      <c r="B17" s="53">
        <v>244</v>
      </c>
      <c r="C17" s="264">
        <f>D17+N17+AR17</f>
        <v>4800</v>
      </c>
      <c r="D17" s="257">
        <f>SUM(E17:M17)</f>
        <v>240</v>
      </c>
      <c r="E17" s="49">
        <f>240</f>
        <v>240</v>
      </c>
      <c r="F17" s="28"/>
      <c r="G17" s="31"/>
      <c r="H17" s="113"/>
      <c r="I17" s="143"/>
      <c r="J17" s="49"/>
      <c r="K17" s="28"/>
      <c r="L17" s="28"/>
      <c r="M17" s="31"/>
      <c r="N17" s="103">
        <f>SUM(O17:Q17)</f>
        <v>4560</v>
      </c>
      <c r="O17" s="50">
        <f>4560</f>
        <v>4560</v>
      </c>
      <c r="P17" s="28"/>
      <c r="Q17" s="31"/>
      <c r="R17" s="113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31">
        <f>SUM(R17:AD17)</f>
        <v>0</v>
      </c>
      <c r="AS17" s="57" t="s">
        <v>242</v>
      </c>
      <c r="AT17" s="58">
        <v>244</v>
      </c>
      <c r="AV17" s="127"/>
      <c r="AW17" s="127"/>
      <c r="AX17" s="127"/>
      <c r="CA17" s="127"/>
      <c r="CB17" s="127"/>
      <c r="CC17" s="55"/>
      <c r="CD17" s="473"/>
      <c r="CE17" s="474"/>
      <c r="CF17" s="484"/>
      <c r="CG17" s="473"/>
      <c r="CH17" s="474"/>
      <c r="CI17" s="473"/>
      <c r="CJ17" s="474"/>
      <c r="CK17" s="473"/>
      <c r="CL17" s="482"/>
      <c r="CM17" s="474"/>
      <c r="CN17" s="43"/>
      <c r="CO17" s="29"/>
      <c r="CP17" s="197"/>
      <c r="CQ17" s="84"/>
      <c r="CS17" s="85">
        <f>CS16-CG20</f>
        <v>0</v>
      </c>
      <c r="CT17" s="86">
        <f>CT16-CE20</f>
        <v>0</v>
      </c>
    </row>
    <row r="18" spans="1:98" ht="39.75" thickBot="1">
      <c r="A18" s="57" t="s">
        <v>21</v>
      </c>
      <c r="B18" s="53">
        <v>244</v>
      </c>
      <c r="C18" s="264">
        <f t="shared" si="3"/>
        <v>621511</v>
      </c>
      <c r="D18" s="257">
        <f t="shared" si="2"/>
        <v>137849.72</v>
      </c>
      <c r="E18" s="49">
        <v>59835.84</v>
      </c>
      <c r="F18" s="28"/>
      <c r="G18" s="31">
        <v>78013.88</v>
      </c>
      <c r="H18" s="113"/>
      <c r="I18" s="143"/>
      <c r="J18" s="49"/>
      <c r="K18" s="28"/>
      <c r="L18" s="28"/>
      <c r="M18" s="31"/>
      <c r="N18" s="103">
        <f t="shared" si="1"/>
        <v>187304.54</v>
      </c>
      <c r="O18" s="50">
        <f>193413.28-6108.74</f>
        <v>187304.54</v>
      </c>
      <c r="P18" s="28"/>
      <c r="Q18" s="31"/>
      <c r="R18" s="113">
        <f>296356.74</f>
        <v>296356.74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>
        <f>SUM(R18:AD18)</f>
        <v>296356.74</v>
      </c>
      <c r="AS18" s="57" t="s">
        <v>21</v>
      </c>
      <c r="AT18" s="58">
        <v>244</v>
      </c>
      <c r="AU18" s="127"/>
      <c r="AV18" s="127"/>
      <c r="AW18" s="127"/>
      <c r="AX18" s="127"/>
      <c r="CA18" s="127"/>
      <c r="CB18" s="127"/>
      <c r="CC18" s="55"/>
      <c r="CD18" s="188" t="s">
        <v>44</v>
      </c>
      <c r="CE18" s="186" t="s">
        <v>45</v>
      </c>
      <c r="CF18" s="188" t="s">
        <v>44</v>
      </c>
      <c r="CG18" s="186" t="s">
        <v>45</v>
      </c>
      <c r="CH18" s="188" t="s">
        <v>44</v>
      </c>
      <c r="CI18" s="54" t="s">
        <v>45</v>
      </c>
      <c r="CJ18" s="54" t="s">
        <v>45</v>
      </c>
      <c r="CK18" s="188" t="s">
        <v>46</v>
      </c>
      <c r="CL18" s="188" t="s">
        <v>47</v>
      </c>
      <c r="CM18" s="265" t="s">
        <v>220</v>
      </c>
      <c r="CN18" s="43"/>
      <c r="CO18" s="29"/>
      <c r="CP18" s="197"/>
      <c r="CQ18" s="84"/>
      <c r="CS18" s="85"/>
      <c r="CT18" s="86"/>
    </row>
    <row r="19" spans="1:98" ht="20.25" thickBot="1">
      <c r="A19" s="57" t="s">
        <v>24</v>
      </c>
      <c r="B19" s="53">
        <v>244</v>
      </c>
      <c r="C19" s="264">
        <f t="shared" si="3"/>
        <v>869153.82</v>
      </c>
      <c r="D19" s="257">
        <f>SUM(E19:M19)</f>
        <v>89632.35</v>
      </c>
      <c r="E19" s="49">
        <v>69832.35</v>
      </c>
      <c r="F19" s="28"/>
      <c r="G19" s="31">
        <f>20000+4800-5000</f>
        <v>19800</v>
      </c>
      <c r="H19" s="113"/>
      <c r="I19" s="143"/>
      <c r="J19" s="49"/>
      <c r="K19" s="28"/>
      <c r="L19" s="28"/>
      <c r="M19" s="31"/>
      <c r="N19" s="103">
        <f t="shared" si="1"/>
        <v>751403.47</v>
      </c>
      <c r="O19" s="50">
        <f>414090.33-22887.55+375000-53000+9927.5-111290+5073.13+20290-1+44902.12+15000-6509.8+6108.74</f>
        <v>696703.47</v>
      </c>
      <c r="P19" s="28"/>
      <c r="Q19" s="31">
        <f>28000+6000+20700</f>
        <v>54700</v>
      </c>
      <c r="R19" s="113"/>
      <c r="S19" s="28"/>
      <c r="T19" s="28">
        <v>28118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>
        <f>SUM(R19:AD19)</f>
        <v>28118</v>
      </c>
      <c r="AS19" s="57" t="s">
        <v>24</v>
      </c>
      <c r="AT19" s="58">
        <v>244</v>
      </c>
      <c r="AU19" s="127"/>
      <c r="AV19" s="127"/>
      <c r="AW19" s="127"/>
      <c r="AX19" s="127"/>
      <c r="CA19" s="127"/>
      <c r="CB19" s="127"/>
      <c r="CC19" s="55"/>
      <c r="CD19" s="5">
        <v>1</v>
      </c>
      <c r="CE19" s="187">
        <v>2</v>
      </c>
      <c r="CF19" s="187">
        <v>3</v>
      </c>
      <c r="CG19" s="187">
        <v>4</v>
      </c>
      <c r="CH19" s="187">
        <v>5</v>
      </c>
      <c r="CI19" s="187">
        <v>6</v>
      </c>
      <c r="CJ19" s="187">
        <v>7</v>
      </c>
      <c r="CK19" s="187">
        <v>8</v>
      </c>
      <c r="CL19" s="54">
        <v>9</v>
      </c>
      <c r="CM19" s="266">
        <v>10</v>
      </c>
      <c r="CN19" s="43"/>
      <c r="CO19" s="29"/>
      <c r="CP19" s="197"/>
      <c r="CQ19" s="84"/>
      <c r="CS19" s="85"/>
      <c r="CT19" s="86"/>
    </row>
    <row r="20" spans="1:98" ht="19.5">
      <c r="A20" s="57" t="s">
        <v>24</v>
      </c>
      <c r="B20" s="53">
        <v>119</v>
      </c>
      <c r="C20" s="264">
        <f t="shared" si="3"/>
        <v>9517.33</v>
      </c>
      <c r="D20" s="257">
        <f t="shared" si="2"/>
        <v>0</v>
      </c>
      <c r="E20" s="49"/>
      <c r="F20" s="28"/>
      <c r="G20" s="31"/>
      <c r="H20" s="113"/>
      <c r="I20" s="143"/>
      <c r="J20" s="49"/>
      <c r="K20" s="28"/>
      <c r="L20" s="28"/>
      <c r="M20" s="31"/>
      <c r="N20" s="103">
        <f t="shared" si="1"/>
        <v>9517.33</v>
      </c>
      <c r="O20" s="28">
        <f>9517.33</f>
        <v>9517.33</v>
      </c>
      <c r="P20" s="28"/>
      <c r="Q20" s="31"/>
      <c r="R20" s="113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57" t="s">
        <v>24</v>
      </c>
      <c r="AT20" s="58">
        <v>119</v>
      </c>
      <c r="AX20" s="127"/>
      <c r="BA20" s="30"/>
      <c r="BB20" s="30"/>
      <c r="CA20" s="127"/>
      <c r="CB20" s="127"/>
      <c r="CC20" s="55"/>
      <c r="CD20" s="56">
        <f>CT15</f>
        <v>187468</v>
      </c>
      <c r="CE20" s="7">
        <f>CD20*12-0.02</f>
        <v>2249615.98</v>
      </c>
      <c r="CF20" s="7">
        <f>O12/12+T12/12</f>
        <v>185195.6</v>
      </c>
      <c r="CG20" s="7">
        <f>CH20*12-0.01</f>
        <v>4794162.83</v>
      </c>
      <c r="CH20" s="7">
        <f>CS15</f>
        <v>399513.57</v>
      </c>
      <c r="CI20" s="7">
        <f>CF20*12+0.12</f>
        <v>2222347.32</v>
      </c>
      <c r="CJ20" s="7">
        <f>CE20+CG20+CI20</f>
        <v>9266126.13</v>
      </c>
      <c r="CK20" s="7">
        <f>N12</f>
        <v>9266126.13</v>
      </c>
      <c r="CL20" s="7"/>
      <c r="CM20" s="267">
        <f>T12</f>
        <v>0</v>
      </c>
      <c r="CN20" s="43"/>
      <c r="CO20" s="29"/>
      <c r="CP20" s="197"/>
      <c r="CQ20" s="84"/>
      <c r="CS20" s="85"/>
      <c r="CT20" s="86"/>
    </row>
    <row r="21" spans="1:98" ht="39.75" thickBot="1">
      <c r="A21" s="57" t="s">
        <v>245</v>
      </c>
      <c r="B21" s="53"/>
      <c r="C21" s="264"/>
      <c r="D21" s="257"/>
      <c r="E21" s="49"/>
      <c r="F21" s="28"/>
      <c r="G21" s="31"/>
      <c r="H21" s="113"/>
      <c r="I21" s="143"/>
      <c r="J21" s="49"/>
      <c r="K21" s="28"/>
      <c r="L21" s="28"/>
      <c r="M21" s="31"/>
      <c r="N21" s="103">
        <f t="shared" si="1"/>
        <v>0</v>
      </c>
      <c r="O21" s="28"/>
      <c r="P21" s="28"/>
      <c r="Q21" s="31"/>
      <c r="R21" s="113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57" t="s">
        <v>245</v>
      </c>
      <c r="AT21" s="58">
        <v>224</v>
      </c>
      <c r="AX21" s="127"/>
      <c r="BA21" s="30"/>
      <c r="BB21" s="30"/>
      <c r="CA21" s="127"/>
      <c r="CB21" s="127"/>
      <c r="CC21" s="55"/>
      <c r="CD21" s="60">
        <f>CE21/9</f>
        <v>16852.65</v>
      </c>
      <c r="CE21" s="9">
        <f>E12</f>
        <v>151673.89</v>
      </c>
      <c r="CF21" s="9"/>
      <c r="CG21" s="9"/>
      <c r="CH21" s="9"/>
      <c r="CI21" s="9"/>
      <c r="CJ21" s="9">
        <f>CE21+CH21</f>
        <v>151673.89</v>
      </c>
      <c r="CK21" s="9"/>
      <c r="CL21" s="9">
        <f>E12</f>
        <v>151673.89</v>
      </c>
      <c r="CM21" s="268"/>
      <c r="CN21" s="43"/>
      <c r="CO21" s="29"/>
      <c r="CP21" s="197"/>
      <c r="CQ21" s="84"/>
      <c r="CS21" s="85"/>
      <c r="CT21" s="86"/>
    </row>
    <row r="22" spans="1:98" ht="59.25" thickBot="1">
      <c r="A22" s="57" t="s">
        <v>243</v>
      </c>
      <c r="B22" s="58">
        <v>323</v>
      </c>
      <c r="C22" s="264">
        <f t="shared" si="3"/>
        <v>0</v>
      </c>
      <c r="D22" s="257">
        <f t="shared" si="2"/>
        <v>0</v>
      </c>
      <c r="E22" s="49"/>
      <c r="F22" s="28"/>
      <c r="G22" s="31"/>
      <c r="H22" s="113"/>
      <c r="I22" s="143"/>
      <c r="J22" s="49"/>
      <c r="K22" s="28"/>
      <c r="L22" s="28"/>
      <c r="M22" s="31"/>
      <c r="N22" s="103">
        <f t="shared" si="1"/>
        <v>0</v>
      </c>
      <c r="O22" s="50"/>
      <c r="P22" s="28"/>
      <c r="Q22" s="31"/>
      <c r="R22" s="113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>
        <f>SUM(R22:AD22)</f>
        <v>0</v>
      </c>
      <c r="AS22" s="57" t="s">
        <v>243</v>
      </c>
      <c r="AT22" s="58">
        <v>323</v>
      </c>
      <c r="AU22" s="127"/>
      <c r="AV22" s="127"/>
      <c r="AX22" s="127"/>
      <c r="CA22" s="127"/>
      <c r="CB22" s="127"/>
      <c r="CC22" s="59"/>
      <c r="CD22" s="10">
        <f>SUM(CD20:CD21)</f>
        <v>204320.65</v>
      </c>
      <c r="CE22" s="10">
        <f>SUM(CE20:CE21)</f>
        <v>2401289.87</v>
      </c>
      <c r="CF22" s="10"/>
      <c r="CG22" s="10">
        <f>SUM(CG20:CG21)</f>
        <v>4794162.83</v>
      </c>
      <c r="CH22" s="10">
        <f>SUM(CH20:CH21)</f>
        <v>399513.57</v>
      </c>
      <c r="CI22" s="10"/>
      <c r="CJ22" s="10">
        <f>SUM(CJ20:CJ21)</f>
        <v>9417800.02</v>
      </c>
      <c r="CK22" s="90">
        <f>SUM(CK20:CK21)</f>
        <v>9266126.13</v>
      </c>
      <c r="CL22" s="90">
        <f>SUM(CL20:CL21)</f>
        <v>151673.89</v>
      </c>
      <c r="CM22" s="90">
        <f>SUM(CM20:CM21)</f>
        <v>0</v>
      </c>
      <c r="CN22" s="43"/>
      <c r="CO22" s="29"/>
      <c r="CP22" s="197"/>
      <c r="CQ22" s="84"/>
      <c r="CR22" s="1" t="s">
        <v>8</v>
      </c>
      <c r="CS22" s="200">
        <f>$N$12</f>
        <v>9266126.13</v>
      </c>
      <c r="CT22" s="269">
        <f>$CS$22-$CK$20</f>
        <v>0</v>
      </c>
    </row>
    <row r="23" spans="1:98" ht="39">
      <c r="A23" s="57" t="s">
        <v>22</v>
      </c>
      <c r="B23" s="53">
        <v>244</v>
      </c>
      <c r="C23" s="264">
        <f t="shared" si="3"/>
        <v>295228.18</v>
      </c>
      <c r="D23" s="257">
        <f t="shared" si="2"/>
        <v>81645</v>
      </c>
      <c r="E23" s="49">
        <v>22907</v>
      </c>
      <c r="F23" s="28"/>
      <c r="G23" s="31">
        <v>58738</v>
      </c>
      <c r="H23" s="113"/>
      <c r="I23" s="143"/>
      <c r="J23" s="49"/>
      <c r="K23" s="28"/>
      <c r="L23" s="28"/>
      <c r="M23" s="31"/>
      <c r="N23" s="103">
        <f t="shared" si="1"/>
        <v>106183.18</v>
      </c>
      <c r="O23" s="50"/>
      <c r="P23" s="28"/>
      <c r="Q23" s="31">
        <v>106183.18</v>
      </c>
      <c r="R23" s="113"/>
      <c r="S23" s="28">
        <f>101000-6000+17600-5200</f>
        <v>107400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31">
        <f>SUM(R23:AD23)</f>
        <v>107400</v>
      </c>
      <c r="AS23" s="57" t="s">
        <v>22</v>
      </c>
      <c r="AT23" s="58">
        <v>244</v>
      </c>
      <c r="AU23" s="127"/>
      <c r="AV23" s="127"/>
      <c r="AW23" s="127"/>
      <c r="AX23" s="270"/>
      <c r="AY23" s="270"/>
      <c r="AZ23" s="270"/>
      <c r="CA23" s="127"/>
      <c r="CB23" s="127"/>
      <c r="CC23" s="55"/>
      <c r="CD23" s="61"/>
      <c r="CE23" s="475" t="s">
        <v>185</v>
      </c>
      <c r="CF23" s="475"/>
      <c r="CG23" s="475"/>
      <c r="CH23" s="475"/>
      <c r="CI23" s="475"/>
      <c r="CJ23" s="11"/>
      <c r="CK23" s="29"/>
      <c r="CL23" s="127"/>
      <c r="CM23" s="43"/>
      <c r="CN23" s="43"/>
      <c r="CO23" s="29"/>
      <c r="CP23" s="197"/>
      <c r="CQ23" s="84"/>
      <c r="CR23" s="1" t="s">
        <v>5</v>
      </c>
      <c r="CS23" s="200">
        <f>$D$12</f>
        <v>151673.89</v>
      </c>
      <c r="CT23" s="86">
        <f>$CS$23-$CL$21</f>
        <v>0</v>
      </c>
    </row>
    <row r="24" spans="1:98" ht="39">
      <c r="A24" s="57" t="s">
        <v>25</v>
      </c>
      <c r="B24" s="53">
        <v>119</v>
      </c>
      <c r="C24" s="264">
        <f t="shared" si="3"/>
        <v>0</v>
      </c>
      <c r="D24" s="257">
        <f>SUM(E24:M24)</f>
        <v>0</v>
      </c>
      <c r="E24" s="49"/>
      <c r="F24" s="28"/>
      <c r="G24" s="31"/>
      <c r="H24" s="113"/>
      <c r="I24" s="143"/>
      <c r="J24" s="49"/>
      <c r="K24" s="28"/>
      <c r="L24" s="28"/>
      <c r="M24" s="31"/>
      <c r="N24" s="103">
        <f t="shared" si="1"/>
        <v>0</v>
      </c>
      <c r="O24" s="28"/>
      <c r="P24" s="28"/>
      <c r="Q24" s="31"/>
      <c r="R24" s="113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57" t="s">
        <v>25</v>
      </c>
      <c r="AT24" s="58">
        <v>119</v>
      </c>
      <c r="CA24" s="127"/>
      <c r="CB24" s="127"/>
      <c r="CC24" s="55"/>
      <c r="CO24" s="29"/>
      <c r="CP24" s="197"/>
      <c r="CQ24" s="84"/>
      <c r="CR24" s="85" t="s">
        <v>9</v>
      </c>
      <c r="CS24" s="85">
        <f>T12</f>
        <v>0</v>
      </c>
      <c r="CT24" s="86">
        <f>CS24-CM22</f>
        <v>0</v>
      </c>
    </row>
    <row r="25" spans="1:98" ht="39">
      <c r="A25" s="57" t="s">
        <v>25</v>
      </c>
      <c r="B25" s="53">
        <v>244</v>
      </c>
      <c r="C25" s="264">
        <f t="shared" si="3"/>
        <v>3045376.96</v>
      </c>
      <c r="D25" s="257">
        <f aca="true" t="shared" si="4" ref="D25:D30">SUM(E25:M25)</f>
        <v>2907882.05</v>
      </c>
      <c r="E25" s="49">
        <f>E26+E27+E28+E29+E30</f>
        <v>1038</v>
      </c>
      <c r="F25" s="113">
        <f aca="true" t="shared" si="5" ref="F25:O25">F26+F27+F28+F29+F30</f>
        <v>0</v>
      </c>
      <c r="G25" s="114">
        <f t="shared" si="5"/>
        <v>2863893.15</v>
      </c>
      <c r="H25" s="113">
        <f t="shared" si="5"/>
        <v>0</v>
      </c>
      <c r="I25" s="136">
        <f t="shared" si="5"/>
        <v>0</v>
      </c>
      <c r="J25" s="49">
        <f t="shared" si="5"/>
        <v>42950.9</v>
      </c>
      <c r="K25" s="113">
        <f t="shared" si="5"/>
        <v>0</v>
      </c>
      <c r="L25" s="113">
        <f t="shared" si="5"/>
        <v>0</v>
      </c>
      <c r="M25" s="114">
        <f t="shared" si="5"/>
        <v>0</v>
      </c>
      <c r="N25" s="103">
        <f aca="true" t="shared" si="6" ref="N25:N30">SUM(O25:Q25)</f>
        <v>124294.91</v>
      </c>
      <c r="O25" s="113">
        <f t="shared" si="5"/>
        <v>50478.09</v>
      </c>
      <c r="P25" s="113">
        <f>P26+P27+P28+P29+P30</f>
        <v>0</v>
      </c>
      <c r="Q25" s="114">
        <f>Q26+Q27+Q28+Q29+Q30</f>
        <v>73816.82</v>
      </c>
      <c r="R25" s="113"/>
      <c r="S25" s="113">
        <f>S26+S27+S28+S29+S30</f>
        <v>13200</v>
      </c>
      <c r="T25" s="113"/>
      <c r="U25" s="113"/>
      <c r="V25" s="113"/>
      <c r="W25" s="113"/>
      <c r="X25" s="113">
        <f aca="true" t="shared" si="7" ref="X25:AQ25">X26+X27+X28+X29+X30</f>
        <v>0</v>
      </c>
      <c r="Y25" s="113">
        <f t="shared" si="7"/>
        <v>0</v>
      </c>
      <c r="Z25" s="113">
        <f t="shared" si="7"/>
        <v>0</v>
      </c>
      <c r="AA25" s="113">
        <f t="shared" si="7"/>
        <v>0</v>
      </c>
      <c r="AB25" s="113">
        <f t="shared" si="7"/>
        <v>0</v>
      </c>
      <c r="AC25" s="113">
        <f t="shared" si="7"/>
        <v>0</v>
      </c>
      <c r="AD25" s="113">
        <f t="shared" si="7"/>
        <v>0</v>
      </c>
      <c r="AE25" s="113">
        <f t="shared" si="7"/>
        <v>0</v>
      </c>
      <c r="AF25" s="113">
        <f t="shared" si="7"/>
        <v>0</v>
      </c>
      <c r="AG25" s="113">
        <f t="shared" si="7"/>
        <v>0</v>
      </c>
      <c r="AH25" s="113">
        <f t="shared" si="7"/>
        <v>0</v>
      </c>
      <c r="AI25" s="113">
        <f t="shared" si="7"/>
        <v>0</v>
      </c>
      <c r="AJ25" s="113">
        <f t="shared" si="7"/>
        <v>0</v>
      </c>
      <c r="AK25" s="113">
        <f t="shared" si="7"/>
        <v>0</v>
      </c>
      <c r="AL25" s="113">
        <f t="shared" si="7"/>
        <v>0</v>
      </c>
      <c r="AM25" s="113">
        <f t="shared" si="7"/>
        <v>0</v>
      </c>
      <c r="AN25" s="113">
        <f t="shared" si="7"/>
        <v>0</v>
      </c>
      <c r="AO25" s="113">
        <f t="shared" si="7"/>
        <v>0</v>
      </c>
      <c r="AP25" s="113">
        <f t="shared" si="7"/>
        <v>0</v>
      </c>
      <c r="AQ25" s="113">
        <f t="shared" si="7"/>
        <v>0</v>
      </c>
      <c r="AR25" s="31">
        <f aca="true" t="shared" si="8" ref="AR25:AR30">SUM(R25:AD25)</f>
        <v>13200</v>
      </c>
      <c r="AS25" s="57" t="s">
        <v>25</v>
      </c>
      <c r="AT25" s="58">
        <v>244</v>
      </c>
      <c r="AV25" s="127"/>
      <c r="AW25" s="127"/>
      <c r="CA25" s="127"/>
      <c r="CB25" s="127"/>
      <c r="CC25" s="55"/>
      <c r="CD25" s="51"/>
      <c r="CE25" s="46"/>
      <c r="CF25" s="46"/>
      <c r="CG25" s="46"/>
      <c r="CH25" s="43"/>
      <c r="CI25" s="43"/>
      <c r="CJ25" s="43"/>
      <c r="CK25" s="43"/>
      <c r="CL25" s="43"/>
      <c r="CM25" s="43"/>
      <c r="CN25" s="43"/>
      <c r="CO25" s="29"/>
      <c r="CP25" s="197"/>
      <c r="CQ25" s="84"/>
      <c r="CS25" s="85"/>
      <c r="CT25" s="86"/>
    </row>
    <row r="26" spans="1:98" ht="39">
      <c r="A26" s="57" t="s">
        <v>228</v>
      </c>
      <c r="B26" s="53">
        <v>244</v>
      </c>
      <c r="C26" s="264">
        <f t="shared" si="3"/>
        <v>2579751.17</v>
      </c>
      <c r="D26" s="257">
        <f t="shared" si="4"/>
        <v>2547903.08</v>
      </c>
      <c r="E26" s="49"/>
      <c r="F26" s="28"/>
      <c r="G26" s="31">
        <v>2504952.18</v>
      </c>
      <c r="H26" s="113"/>
      <c r="I26" s="143"/>
      <c r="J26" s="49">
        <v>42950.9</v>
      </c>
      <c r="K26" s="28"/>
      <c r="L26" s="26"/>
      <c r="M26" s="170"/>
      <c r="N26" s="103">
        <f t="shared" si="6"/>
        <v>31848.09</v>
      </c>
      <c r="O26" s="47">
        <f>O45</f>
        <v>31848.09</v>
      </c>
      <c r="P26" s="28"/>
      <c r="Q26" s="31"/>
      <c r="R26" s="113"/>
      <c r="S26" s="28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31">
        <f t="shared" si="8"/>
        <v>0</v>
      </c>
      <c r="AS26" s="57" t="s">
        <v>228</v>
      </c>
      <c r="AT26" s="58">
        <v>244</v>
      </c>
      <c r="AU26" s="1"/>
      <c r="AW26" s="127"/>
      <c r="CA26" s="127"/>
      <c r="CB26" s="127"/>
      <c r="CC26" s="55"/>
      <c r="CD26" s="48" t="s">
        <v>49</v>
      </c>
      <c r="CE26" s="46"/>
      <c r="CF26" s="46"/>
      <c r="CG26" s="46"/>
      <c r="CH26" s="43"/>
      <c r="CI26" s="43"/>
      <c r="CJ26" s="43"/>
      <c r="CK26" s="43"/>
      <c r="CL26" s="272"/>
      <c r="CM26" s="43"/>
      <c r="CN26" s="43"/>
      <c r="CO26" s="29"/>
      <c r="CP26" s="197"/>
      <c r="CQ26" s="84"/>
      <c r="CR26" s="85">
        <f>CJ22-C12</f>
        <v>0</v>
      </c>
      <c r="CS26" s="85"/>
      <c r="CT26" s="86"/>
    </row>
    <row r="27" spans="1:98" ht="39" customHeight="1">
      <c r="A27" s="273" t="s">
        <v>229</v>
      </c>
      <c r="B27" s="53">
        <v>244</v>
      </c>
      <c r="C27" s="264">
        <f t="shared" si="3"/>
        <v>0</v>
      </c>
      <c r="D27" s="257">
        <f t="shared" si="4"/>
        <v>0</v>
      </c>
      <c r="E27" s="49"/>
      <c r="F27" s="28"/>
      <c r="G27" s="31"/>
      <c r="H27" s="113"/>
      <c r="I27" s="143"/>
      <c r="J27" s="49"/>
      <c r="K27" s="28"/>
      <c r="L27" s="26"/>
      <c r="M27" s="170"/>
      <c r="N27" s="103">
        <f t="shared" si="6"/>
        <v>0</v>
      </c>
      <c r="O27" s="47"/>
      <c r="P27" s="28"/>
      <c r="Q27" s="31"/>
      <c r="R27" s="113"/>
      <c r="S27" s="28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31">
        <f t="shared" si="8"/>
        <v>0</v>
      </c>
      <c r="AS27" s="273" t="s">
        <v>229</v>
      </c>
      <c r="AT27" s="58">
        <v>244</v>
      </c>
      <c r="AU27" s="1"/>
      <c r="AW27" s="127"/>
      <c r="CA27" s="127"/>
      <c r="CB27" s="127"/>
      <c r="CC27" s="55"/>
      <c r="CD27" s="48" t="s">
        <v>50</v>
      </c>
      <c r="CE27" s="46"/>
      <c r="CF27" s="46"/>
      <c r="CG27" s="46"/>
      <c r="CH27" s="43"/>
      <c r="CI27" s="43"/>
      <c r="CJ27" s="43"/>
      <c r="CK27" s="43"/>
      <c r="CL27" s="43"/>
      <c r="CM27" s="43"/>
      <c r="CN27" s="43"/>
      <c r="CO27" s="29"/>
      <c r="CP27" s="197"/>
      <c r="CQ27" s="84"/>
      <c r="CS27" s="85"/>
      <c r="CT27" s="86"/>
    </row>
    <row r="28" spans="1:98" ht="39.75" thickBot="1">
      <c r="A28" s="57" t="s">
        <v>230</v>
      </c>
      <c r="B28" s="53">
        <v>244</v>
      </c>
      <c r="C28" s="264">
        <f t="shared" si="3"/>
        <v>36330</v>
      </c>
      <c r="D28" s="257">
        <f t="shared" si="4"/>
        <v>36330</v>
      </c>
      <c r="E28" s="49"/>
      <c r="F28" s="28"/>
      <c r="G28" s="31">
        <v>36330</v>
      </c>
      <c r="H28" s="113"/>
      <c r="I28" s="143"/>
      <c r="J28" s="49"/>
      <c r="K28" s="28"/>
      <c r="L28" s="26"/>
      <c r="M28" s="170"/>
      <c r="N28" s="103">
        <f t="shared" si="6"/>
        <v>0</v>
      </c>
      <c r="O28" s="47"/>
      <c r="P28" s="28"/>
      <c r="Q28" s="31"/>
      <c r="R28" s="113"/>
      <c r="S28" s="28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31">
        <f t="shared" si="8"/>
        <v>0</v>
      </c>
      <c r="AS28" s="57" t="s">
        <v>230</v>
      </c>
      <c r="AT28" s="58">
        <v>244</v>
      </c>
      <c r="AU28" s="1"/>
      <c r="AW28" s="127"/>
      <c r="BA28" s="270"/>
      <c r="BB28" s="270"/>
      <c r="BC28" s="270"/>
      <c r="CA28" s="127"/>
      <c r="CB28" s="127"/>
      <c r="CC28" s="55"/>
      <c r="CD28" s="51"/>
      <c r="CE28" s="46"/>
      <c r="CF28" s="46"/>
      <c r="CG28" s="46"/>
      <c r="CH28" s="43"/>
      <c r="CI28" s="43"/>
      <c r="CJ28" s="43"/>
      <c r="CK28" s="43"/>
      <c r="CL28" s="43"/>
      <c r="CM28" s="43"/>
      <c r="CN28" s="43"/>
      <c r="CO28" s="29"/>
      <c r="CP28" s="197"/>
      <c r="CQ28" s="84"/>
      <c r="CS28" s="85"/>
      <c r="CT28" s="86"/>
    </row>
    <row r="29" spans="1:256" ht="39" customHeight="1">
      <c r="A29" s="57" t="s">
        <v>231</v>
      </c>
      <c r="B29" s="53">
        <v>244</v>
      </c>
      <c r="C29" s="264">
        <f t="shared" si="3"/>
        <v>429295.79</v>
      </c>
      <c r="D29" s="257">
        <f t="shared" si="4"/>
        <v>323648.97</v>
      </c>
      <c r="E29" s="49">
        <v>1038</v>
      </c>
      <c r="F29" s="28">
        <f aca="true" t="shared" si="9" ref="F29:L29">F9</f>
        <v>0</v>
      </c>
      <c r="G29" s="31">
        <v>322610.97</v>
      </c>
      <c r="H29" s="113">
        <f t="shared" si="9"/>
        <v>0</v>
      </c>
      <c r="I29" s="143">
        <f t="shared" si="9"/>
        <v>0</v>
      </c>
      <c r="J29" s="49"/>
      <c r="K29" s="28"/>
      <c r="L29" s="28">
        <f t="shared" si="9"/>
        <v>0</v>
      </c>
      <c r="M29" s="31"/>
      <c r="N29" s="103">
        <f t="shared" si="6"/>
        <v>92446.82</v>
      </c>
      <c r="O29" s="47">
        <f>26000+8000+7500-22870</f>
        <v>18630</v>
      </c>
      <c r="P29" s="28"/>
      <c r="Q29" s="31">
        <v>73816.82</v>
      </c>
      <c r="R29" s="113"/>
      <c r="S29" s="28">
        <f>6000+7200</f>
        <v>13200</v>
      </c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31">
        <f t="shared" si="8"/>
        <v>13200</v>
      </c>
      <c r="AS29" s="57" t="s">
        <v>231</v>
      </c>
      <c r="AT29" s="58">
        <v>244</v>
      </c>
      <c r="AU29" s="1"/>
      <c r="AV29" s="127"/>
      <c r="AY29" s="274"/>
      <c r="AZ29" s="274"/>
      <c r="BD29" s="270"/>
      <c r="BE29" s="270"/>
      <c r="BF29" s="270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270"/>
      <c r="CA29" s="270"/>
      <c r="CB29" s="270"/>
      <c r="CC29" s="275"/>
      <c r="CD29" s="12" t="s">
        <v>51</v>
      </c>
      <c r="CE29" s="429" t="s">
        <v>26</v>
      </c>
      <c r="CF29" s="429" t="s">
        <v>52</v>
      </c>
      <c r="CG29" s="429" t="s">
        <v>53</v>
      </c>
      <c r="CH29" s="429" t="s">
        <v>54</v>
      </c>
      <c r="CI29" s="429" t="s">
        <v>55</v>
      </c>
      <c r="CJ29" s="43"/>
      <c r="CK29" s="43"/>
      <c r="CL29" s="43"/>
      <c r="CM29" s="43"/>
      <c r="CN29" s="43"/>
      <c r="CO29" s="29"/>
      <c r="CP29" s="197"/>
      <c r="CQ29" s="84"/>
      <c r="CS29" s="85"/>
      <c r="CT29" s="86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</row>
    <row r="30" spans="1:98" ht="59.25" thickBot="1">
      <c r="A30" s="57" t="s">
        <v>232</v>
      </c>
      <c r="B30" s="53">
        <v>244</v>
      </c>
      <c r="C30" s="264">
        <f t="shared" si="3"/>
        <v>0</v>
      </c>
      <c r="D30" s="257">
        <f t="shared" si="4"/>
        <v>0</v>
      </c>
      <c r="E30" s="49"/>
      <c r="F30" s="28"/>
      <c r="G30" s="31"/>
      <c r="H30" s="113"/>
      <c r="I30" s="143"/>
      <c r="J30" s="49"/>
      <c r="K30" s="28"/>
      <c r="L30" s="26"/>
      <c r="M30" s="170"/>
      <c r="N30" s="103">
        <f t="shared" si="6"/>
        <v>0</v>
      </c>
      <c r="O30" s="47"/>
      <c r="P30" s="28"/>
      <c r="Q30" s="31"/>
      <c r="R30" s="113"/>
      <c r="S30" s="28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31">
        <f t="shared" si="8"/>
        <v>0</v>
      </c>
      <c r="AS30" s="57" t="s">
        <v>232</v>
      </c>
      <c r="AT30" s="58">
        <v>244</v>
      </c>
      <c r="AU30" s="1"/>
      <c r="AW30" s="127"/>
      <c r="CA30" s="127"/>
      <c r="CC30" s="55"/>
      <c r="CD30" s="3" t="s">
        <v>39</v>
      </c>
      <c r="CE30" s="430"/>
      <c r="CF30" s="430"/>
      <c r="CG30" s="430"/>
      <c r="CH30" s="430"/>
      <c r="CI30" s="430"/>
      <c r="CJ30" s="43"/>
      <c r="CK30" s="43"/>
      <c r="CL30" s="43"/>
      <c r="CM30" s="43"/>
      <c r="CN30" s="43"/>
      <c r="CO30" s="29"/>
      <c r="CP30" s="197"/>
      <c r="CQ30" s="84"/>
      <c r="CS30" s="85"/>
      <c r="CT30" s="86"/>
    </row>
    <row r="31" spans="1:98" ht="20.25" thickBot="1">
      <c r="A31" s="57" t="s">
        <v>186</v>
      </c>
      <c r="B31" s="53">
        <v>851</v>
      </c>
      <c r="C31" s="264">
        <f>D31+N31+AR31</f>
        <v>450178</v>
      </c>
      <c r="D31" s="257">
        <f aca="true" t="shared" si="10" ref="D31:D36">SUM(E31:M31)</f>
        <v>4327.39</v>
      </c>
      <c r="E31" s="49">
        <f>5324.65-997.26</f>
        <v>4327.39</v>
      </c>
      <c r="F31" s="28"/>
      <c r="G31" s="31"/>
      <c r="H31" s="113"/>
      <c r="I31" s="143"/>
      <c r="J31" s="49"/>
      <c r="K31" s="28"/>
      <c r="L31" s="28"/>
      <c r="M31" s="31"/>
      <c r="N31" s="103">
        <f>SUM(O31:Q31)</f>
        <v>445850.61</v>
      </c>
      <c r="O31" s="28">
        <f>445850.35-223000+111290+111710+1-0.74</f>
        <v>445850.61</v>
      </c>
      <c r="P31" s="28"/>
      <c r="Q31" s="31"/>
      <c r="R31" s="113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57" t="s">
        <v>186</v>
      </c>
      <c r="AT31" s="58">
        <v>851</v>
      </c>
      <c r="AV31" s="127"/>
      <c r="CC31" s="55"/>
      <c r="CD31" s="4">
        <v>1</v>
      </c>
      <c r="CE31" s="13">
        <v>2</v>
      </c>
      <c r="CF31" s="13">
        <v>3</v>
      </c>
      <c r="CG31" s="13">
        <v>4</v>
      </c>
      <c r="CH31" s="13">
        <v>5</v>
      </c>
      <c r="CI31" s="13">
        <v>6</v>
      </c>
      <c r="CJ31" s="43"/>
      <c r="CK31" s="43"/>
      <c r="CL31" s="43"/>
      <c r="CM31" s="43"/>
      <c r="CN31" s="43"/>
      <c r="CO31" s="29"/>
      <c r="CP31" s="197"/>
      <c r="CQ31" s="84"/>
      <c r="CS31" s="85"/>
      <c r="CT31" s="86"/>
    </row>
    <row r="32" spans="1:98" ht="19.5">
      <c r="A32" s="57" t="str">
        <f>A31</f>
        <v>КОСГУ 291 Прочие расходы</v>
      </c>
      <c r="B32" s="53">
        <v>852</v>
      </c>
      <c r="C32" s="264">
        <f>D32+N32+AR32</f>
        <v>0</v>
      </c>
      <c r="D32" s="257">
        <f t="shared" si="10"/>
        <v>0</v>
      </c>
      <c r="E32" s="49"/>
      <c r="F32" s="28"/>
      <c r="G32" s="31"/>
      <c r="H32" s="113"/>
      <c r="I32" s="143"/>
      <c r="J32" s="49"/>
      <c r="K32" s="28"/>
      <c r="L32" s="28"/>
      <c r="M32" s="31"/>
      <c r="N32" s="103">
        <f>SUM(O32:Q32)</f>
        <v>0</v>
      </c>
      <c r="O32" s="28"/>
      <c r="P32" s="28"/>
      <c r="Q32" s="31"/>
      <c r="R32" s="113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31"/>
      <c r="AS32" s="57" t="s">
        <v>186</v>
      </c>
      <c r="AT32" s="58">
        <v>852</v>
      </c>
      <c r="AV32" s="127"/>
      <c r="BA32" s="274"/>
      <c r="BB32" s="274"/>
      <c r="CC32" s="55"/>
      <c r="CD32" s="6"/>
      <c r="CE32" s="67"/>
      <c r="CF32" s="67"/>
      <c r="CG32" s="67"/>
      <c r="CH32" s="67"/>
      <c r="CI32" s="276"/>
      <c r="CJ32" s="43"/>
      <c r="CK32" s="43"/>
      <c r="CL32" s="43"/>
      <c r="CM32" s="43"/>
      <c r="CN32" s="43"/>
      <c r="CO32" s="29"/>
      <c r="CP32" s="197"/>
      <c r="CQ32" s="84"/>
      <c r="CS32" s="85"/>
      <c r="CT32" s="86"/>
    </row>
    <row r="33" spans="1:98" ht="19.5">
      <c r="A33" s="57" t="s">
        <v>233</v>
      </c>
      <c r="B33" s="53">
        <v>853</v>
      </c>
      <c r="C33" s="264">
        <f>D33+N33+AR33</f>
        <v>0</v>
      </c>
      <c r="D33" s="257">
        <f t="shared" si="10"/>
        <v>0</v>
      </c>
      <c r="E33" s="49"/>
      <c r="F33" s="28"/>
      <c r="G33" s="31"/>
      <c r="H33" s="113"/>
      <c r="I33" s="143"/>
      <c r="J33" s="49"/>
      <c r="K33" s="28"/>
      <c r="L33" s="28"/>
      <c r="M33" s="31"/>
      <c r="N33" s="103">
        <f>SUM(O33:Q33)</f>
        <v>0</v>
      </c>
      <c r="O33" s="62"/>
      <c r="P33" s="28"/>
      <c r="Q33" s="31"/>
      <c r="R33" s="113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>
        <f>SUM(R33:AD33)</f>
        <v>0</v>
      </c>
      <c r="AS33" s="57" t="s">
        <v>233</v>
      </c>
      <c r="AT33" s="58">
        <v>853</v>
      </c>
      <c r="AV33" s="127"/>
      <c r="BC33" s="274"/>
      <c r="CA33" s="127"/>
      <c r="CC33" s="55"/>
      <c r="CD33" s="16"/>
      <c r="CE33" s="74"/>
      <c r="CF33" s="74"/>
      <c r="CG33" s="74"/>
      <c r="CH33" s="74"/>
      <c r="CI33" s="277"/>
      <c r="CJ33" s="43"/>
      <c r="CK33" s="43"/>
      <c r="CL33" s="43"/>
      <c r="CM33" s="43"/>
      <c r="CN33" s="43"/>
      <c r="CO33" s="29"/>
      <c r="CP33" s="197"/>
      <c r="CQ33" s="84"/>
      <c r="CS33" s="85"/>
      <c r="CT33" s="86"/>
    </row>
    <row r="34" spans="1:98" ht="20.25" thickBot="1">
      <c r="A34" s="57" t="s">
        <v>187</v>
      </c>
      <c r="B34" s="53">
        <v>244</v>
      </c>
      <c r="C34" s="264">
        <f>D34+N34+AR34</f>
        <v>0</v>
      </c>
      <c r="D34" s="257">
        <f t="shared" si="10"/>
        <v>0</v>
      </c>
      <c r="E34" s="89"/>
      <c r="F34" s="28"/>
      <c r="G34" s="31"/>
      <c r="H34" s="113"/>
      <c r="I34" s="143"/>
      <c r="J34" s="49"/>
      <c r="K34" s="28"/>
      <c r="L34" s="28"/>
      <c r="M34" s="31"/>
      <c r="N34" s="103">
        <f>SUM(O34:Q34)</f>
        <v>0</v>
      </c>
      <c r="O34" s="28"/>
      <c r="P34" s="28"/>
      <c r="Q34" s="31"/>
      <c r="R34" s="113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31"/>
      <c r="AS34" s="57" t="s">
        <v>187</v>
      </c>
      <c r="AT34" s="58">
        <v>244</v>
      </c>
      <c r="AU34" s="127"/>
      <c r="AX34" s="274"/>
      <c r="BD34" s="274"/>
      <c r="CC34" s="55"/>
      <c r="CD34" s="8"/>
      <c r="CE34" s="68"/>
      <c r="CF34" s="68"/>
      <c r="CG34" s="68"/>
      <c r="CH34" s="68"/>
      <c r="CI34" s="165"/>
      <c r="CJ34" s="43"/>
      <c r="CK34" s="43"/>
      <c r="CL34" s="43"/>
      <c r="CM34" s="43"/>
      <c r="CN34" s="43"/>
      <c r="CO34" s="29"/>
      <c r="CP34" s="197"/>
      <c r="CQ34" s="84"/>
      <c r="CS34" s="85"/>
      <c r="CT34" s="86"/>
    </row>
    <row r="35" spans="1:98" ht="20.25" thickBot="1">
      <c r="A35" s="32" t="s">
        <v>4</v>
      </c>
      <c r="B35" s="63"/>
      <c r="C35" s="264">
        <f>D35+N35+AR35</f>
        <v>0</v>
      </c>
      <c r="D35" s="278">
        <f t="shared" si="10"/>
        <v>0</v>
      </c>
      <c r="E35" s="168"/>
      <c r="F35" s="150"/>
      <c r="G35" s="166"/>
      <c r="H35" s="167"/>
      <c r="I35" s="169"/>
      <c r="J35" s="149"/>
      <c r="K35" s="150"/>
      <c r="L35" s="150"/>
      <c r="M35" s="166"/>
      <c r="N35" s="279">
        <f>SUM(O35:Q35)</f>
        <v>0</v>
      </c>
      <c r="O35" s="150"/>
      <c r="P35" s="150"/>
      <c r="Q35" s="166"/>
      <c r="R35" s="280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2"/>
      <c r="AV35" s="127"/>
      <c r="CC35" s="55"/>
      <c r="CD35" s="436" t="s">
        <v>48</v>
      </c>
      <c r="CE35" s="437"/>
      <c r="CF35" s="69" t="s">
        <v>56</v>
      </c>
      <c r="CG35" s="69" t="s">
        <v>56</v>
      </c>
      <c r="CH35" s="69" t="s">
        <v>56</v>
      </c>
      <c r="CI35" s="69"/>
      <c r="CJ35" s="43"/>
      <c r="CK35" s="43"/>
      <c r="CL35" s="43"/>
      <c r="CM35" s="43"/>
      <c r="CN35" s="43"/>
      <c r="CO35" s="29"/>
      <c r="CP35" s="197"/>
      <c r="CQ35" s="84"/>
      <c r="CS35" s="85"/>
      <c r="CT35" s="86"/>
    </row>
    <row r="36" spans="1:98" ht="20.25" thickBot="1">
      <c r="A36" s="32" t="s">
        <v>27</v>
      </c>
      <c r="B36" s="63"/>
      <c r="C36" s="283">
        <f>SUM(C12:C35)-C30-C29-C28-C27-C26</f>
        <v>18670097.63</v>
      </c>
      <c r="D36" s="284">
        <f t="shared" si="10"/>
        <v>3441171.57</v>
      </c>
      <c r="E36" s="285">
        <f>SUM(E12:E35)-E30-E29-E28-E27-E26</f>
        <v>377775.64</v>
      </c>
      <c r="F36" s="285">
        <f aca="true" t="shared" si="11" ref="F36:AR36">SUM(F12:F35)-F30-F29-F28-F27-F26</f>
        <v>0</v>
      </c>
      <c r="G36" s="286">
        <f t="shared" si="11"/>
        <v>3020445.03</v>
      </c>
      <c r="H36" s="285">
        <f t="shared" si="11"/>
        <v>0</v>
      </c>
      <c r="I36" s="284">
        <f t="shared" si="11"/>
        <v>0</v>
      </c>
      <c r="J36" s="287">
        <f t="shared" si="11"/>
        <v>42950.9</v>
      </c>
      <c r="K36" s="285">
        <f t="shared" si="11"/>
        <v>0</v>
      </c>
      <c r="L36" s="285">
        <f t="shared" si="11"/>
        <v>0</v>
      </c>
      <c r="M36" s="285">
        <f t="shared" si="11"/>
        <v>0</v>
      </c>
      <c r="N36" s="285">
        <f t="shared" si="11"/>
        <v>14783851.32</v>
      </c>
      <c r="O36" s="285">
        <f>SUM(O12:O35)-O30-O29-O28-O27-O26</f>
        <v>5366462.68</v>
      </c>
      <c r="P36" s="285">
        <f t="shared" si="11"/>
        <v>9182688.64</v>
      </c>
      <c r="Q36" s="285">
        <f t="shared" si="11"/>
        <v>234700</v>
      </c>
      <c r="R36" s="285">
        <f t="shared" si="11"/>
        <v>296356.74</v>
      </c>
      <c r="S36" s="285">
        <f t="shared" si="11"/>
        <v>120600</v>
      </c>
      <c r="T36" s="285">
        <f t="shared" si="11"/>
        <v>28118</v>
      </c>
      <c r="U36" s="285">
        <f t="shared" si="11"/>
        <v>0</v>
      </c>
      <c r="V36" s="285">
        <f t="shared" si="11"/>
        <v>0</v>
      </c>
      <c r="W36" s="285">
        <f t="shared" si="11"/>
        <v>0</v>
      </c>
      <c r="X36" s="285">
        <f t="shared" si="11"/>
        <v>0</v>
      </c>
      <c r="Y36" s="285">
        <f t="shared" si="11"/>
        <v>0</v>
      </c>
      <c r="Z36" s="285">
        <f t="shared" si="11"/>
        <v>0</v>
      </c>
      <c r="AA36" s="285">
        <f t="shared" si="11"/>
        <v>0</v>
      </c>
      <c r="AB36" s="285">
        <f t="shared" si="11"/>
        <v>0</v>
      </c>
      <c r="AC36" s="285">
        <f t="shared" si="11"/>
        <v>0</v>
      </c>
      <c r="AD36" s="285">
        <f t="shared" si="11"/>
        <v>0</v>
      </c>
      <c r="AE36" s="285">
        <f t="shared" si="11"/>
        <v>0</v>
      </c>
      <c r="AF36" s="285">
        <f t="shared" si="11"/>
        <v>0</v>
      </c>
      <c r="AG36" s="285">
        <f t="shared" si="11"/>
        <v>0</v>
      </c>
      <c r="AH36" s="285">
        <f t="shared" si="11"/>
        <v>0</v>
      </c>
      <c r="AI36" s="285">
        <f t="shared" si="11"/>
        <v>0</v>
      </c>
      <c r="AJ36" s="285">
        <f t="shared" si="11"/>
        <v>0</v>
      </c>
      <c r="AK36" s="285">
        <f t="shared" si="11"/>
        <v>0</v>
      </c>
      <c r="AL36" s="285">
        <f t="shared" si="11"/>
        <v>0</v>
      </c>
      <c r="AM36" s="285">
        <f t="shared" si="11"/>
        <v>0</v>
      </c>
      <c r="AN36" s="285">
        <f t="shared" si="11"/>
        <v>0</v>
      </c>
      <c r="AO36" s="285">
        <f t="shared" si="11"/>
        <v>0</v>
      </c>
      <c r="AP36" s="285">
        <f t="shared" si="11"/>
        <v>0</v>
      </c>
      <c r="AQ36" s="285">
        <f t="shared" si="11"/>
        <v>0</v>
      </c>
      <c r="AR36" s="284">
        <f t="shared" si="11"/>
        <v>445074.74</v>
      </c>
      <c r="AS36" s="127"/>
      <c r="AT36" s="127"/>
      <c r="AU36" s="127"/>
      <c r="AV36" s="127"/>
      <c r="AW36" s="274"/>
      <c r="CC36" s="55"/>
      <c r="CD36" s="434"/>
      <c r="CE36" s="435"/>
      <c r="CF36" s="435"/>
      <c r="CG36" s="435"/>
      <c r="CH36" s="435"/>
      <c r="CI36" s="471"/>
      <c r="CJ36" s="43"/>
      <c r="CK36" s="43"/>
      <c r="CL36" s="43"/>
      <c r="CM36" s="43"/>
      <c r="CN36" s="43"/>
      <c r="CO36" s="29"/>
      <c r="CP36" s="197"/>
      <c r="CQ36" s="84"/>
      <c r="CR36" s="200"/>
      <c r="CS36" s="200"/>
      <c r="CT36" s="86"/>
    </row>
    <row r="37" spans="1:98" ht="19.5" customHeight="1" thickBot="1">
      <c r="A37" s="85"/>
      <c r="B37" s="85"/>
      <c r="C37" s="85">
        <f aca="true" t="shared" si="12" ref="C37:AR37">C9+C10-C36</f>
        <v>192779.25</v>
      </c>
      <c r="D37" s="85">
        <f t="shared" si="12"/>
        <v>192779.25</v>
      </c>
      <c r="E37" s="85">
        <f t="shared" si="12"/>
        <v>99275.1</v>
      </c>
      <c r="F37" s="85">
        <f t="shared" si="12"/>
        <v>0</v>
      </c>
      <c r="G37" s="85">
        <f>G9+G10-G36</f>
        <v>88616.75</v>
      </c>
      <c r="H37" s="85">
        <f t="shared" si="12"/>
        <v>0</v>
      </c>
      <c r="I37" s="85">
        <f t="shared" si="12"/>
        <v>0</v>
      </c>
      <c r="J37" s="85">
        <f t="shared" si="12"/>
        <v>3604.1</v>
      </c>
      <c r="K37" s="85">
        <f t="shared" si="12"/>
        <v>1283.3</v>
      </c>
      <c r="L37" s="85">
        <f t="shared" si="12"/>
        <v>0</v>
      </c>
      <c r="M37" s="85">
        <f t="shared" si="12"/>
        <v>0</v>
      </c>
      <c r="N37" s="85">
        <f t="shared" si="12"/>
        <v>0</v>
      </c>
      <c r="O37" s="85">
        <f>O9+O10-O36</f>
        <v>0</v>
      </c>
      <c r="P37" s="85">
        <f t="shared" si="12"/>
        <v>0</v>
      </c>
      <c r="Q37" s="85">
        <f t="shared" si="12"/>
        <v>0</v>
      </c>
      <c r="R37" s="85">
        <f t="shared" si="12"/>
        <v>0</v>
      </c>
      <c r="S37" s="85">
        <f t="shared" si="12"/>
        <v>0</v>
      </c>
      <c r="T37" s="85">
        <f t="shared" si="12"/>
        <v>0</v>
      </c>
      <c r="U37" s="85">
        <f t="shared" si="12"/>
        <v>0</v>
      </c>
      <c r="V37" s="85">
        <f t="shared" si="12"/>
        <v>0</v>
      </c>
      <c r="W37" s="85">
        <f t="shared" si="12"/>
        <v>0</v>
      </c>
      <c r="X37" s="85">
        <f t="shared" si="12"/>
        <v>0</v>
      </c>
      <c r="Y37" s="85">
        <f t="shared" si="12"/>
        <v>0</v>
      </c>
      <c r="Z37" s="85">
        <f t="shared" si="12"/>
        <v>0</v>
      </c>
      <c r="AA37" s="85">
        <f t="shared" si="12"/>
        <v>0</v>
      </c>
      <c r="AB37" s="85">
        <f t="shared" si="12"/>
        <v>0</v>
      </c>
      <c r="AC37" s="85">
        <f t="shared" si="12"/>
        <v>0</v>
      </c>
      <c r="AD37" s="85">
        <f t="shared" si="12"/>
        <v>0</v>
      </c>
      <c r="AE37" s="85">
        <f t="shared" si="12"/>
        <v>0</v>
      </c>
      <c r="AF37" s="85">
        <f t="shared" si="12"/>
        <v>0</v>
      </c>
      <c r="AG37" s="85">
        <f t="shared" si="12"/>
        <v>0</v>
      </c>
      <c r="AH37" s="85">
        <f t="shared" si="12"/>
        <v>0</v>
      </c>
      <c r="AI37" s="85">
        <f t="shared" si="12"/>
        <v>0</v>
      </c>
      <c r="AJ37" s="85">
        <f t="shared" si="12"/>
        <v>0</v>
      </c>
      <c r="AK37" s="85">
        <f t="shared" si="12"/>
        <v>0</v>
      </c>
      <c r="AL37" s="85">
        <f t="shared" si="12"/>
        <v>0</v>
      </c>
      <c r="AM37" s="85">
        <f t="shared" si="12"/>
        <v>0</v>
      </c>
      <c r="AN37" s="85">
        <f t="shared" si="12"/>
        <v>0</v>
      </c>
      <c r="AO37" s="85">
        <f t="shared" si="12"/>
        <v>0</v>
      </c>
      <c r="AP37" s="85">
        <f t="shared" si="12"/>
        <v>0</v>
      </c>
      <c r="AQ37" s="85">
        <f t="shared" si="12"/>
        <v>0</v>
      </c>
      <c r="AR37" s="85">
        <f t="shared" si="12"/>
        <v>0</v>
      </c>
      <c r="AS37" s="270"/>
      <c r="AT37" s="270"/>
      <c r="AU37" s="127"/>
      <c r="AV37" s="270"/>
      <c r="CC37" s="55"/>
      <c r="CD37" s="440" t="s">
        <v>57</v>
      </c>
      <c r="CE37" s="441"/>
      <c r="CF37" s="441"/>
      <c r="CG37" s="441"/>
      <c r="CH37" s="441"/>
      <c r="CI37" s="472"/>
      <c r="CJ37" s="43"/>
      <c r="CK37" s="43"/>
      <c r="CL37" s="43"/>
      <c r="CM37" s="43"/>
      <c r="CN37" s="43"/>
      <c r="CO37" s="29"/>
      <c r="CP37" s="197"/>
      <c r="CQ37" s="84"/>
      <c r="CR37" s="200"/>
      <c r="CS37" s="200"/>
      <c r="CT37" s="86"/>
    </row>
    <row r="38" spans="3:98" ht="19.5" thickBot="1">
      <c r="C38" s="288">
        <f>C10+N9</f>
        <v>18347032.23</v>
      </c>
      <c r="D38" s="289"/>
      <c r="M38" s="85">
        <v>1394514.59</v>
      </c>
      <c r="N38" s="23" t="s">
        <v>13</v>
      </c>
      <c r="O38" s="24">
        <v>1394514.59</v>
      </c>
      <c r="P38" s="24">
        <f>O15+O18+O19+O31+O22+O23+O24+O32+O33+O34+O35+O13+O27+O29+O17</f>
        <v>1394514.59</v>
      </c>
      <c r="Q38" s="24">
        <f aca="true" t="shared" si="13" ref="Q38:Q45">O38-P38</f>
        <v>0</v>
      </c>
      <c r="AU38" s="127"/>
      <c r="CC38" s="55"/>
      <c r="CD38" s="33"/>
      <c r="CE38" s="46"/>
      <c r="CF38" s="46"/>
      <c r="CG38" s="46"/>
      <c r="CH38" s="43"/>
      <c r="CI38" s="43"/>
      <c r="CJ38" s="43"/>
      <c r="CK38" s="43"/>
      <c r="CL38" s="43"/>
      <c r="CM38" s="43"/>
      <c r="CN38" s="43"/>
      <c r="CO38" s="29"/>
      <c r="CP38" s="197"/>
      <c r="CQ38" s="84"/>
      <c r="CS38" s="85"/>
      <c r="CT38" s="86"/>
    </row>
    <row r="39" spans="6:98" ht="19.5" thickBot="1">
      <c r="F39" s="104"/>
      <c r="I39" s="1">
        <v>2020</v>
      </c>
      <c r="J39" s="1">
        <v>2021</v>
      </c>
      <c r="K39" s="1">
        <v>2022</v>
      </c>
      <c r="M39" s="85">
        <f>O38-M38</f>
        <v>0</v>
      </c>
      <c r="N39" s="25" t="s">
        <v>188</v>
      </c>
      <c r="O39" s="290">
        <v>2876100</v>
      </c>
      <c r="P39" s="24">
        <f>O12+O14+O20+O24</f>
        <v>2876100</v>
      </c>
      <c r="Q39" s="24">
        <f t="shared" si="13"/>
        <v>0</v>
      </c>
      <c r="CC39" s="55"/>
      <c r="CD39" s="48" t="s">
        <v>58</v>
      </c>
      <c r="CE39" s="46"/>
      <c r="CF39" s="46"/>
      <c r="CG39" s="46"/>
      <c r="CH39" s="43"/>
      <c r="CI39" s="43"/>
      <c r="CJ39" s="43"/>
      <c r="CK39" s="43"/>
      <c r="CL39" s="43"/>
      <c r="CM39" s="43"/>
      <c r="CN39" s="43"/>
      <c r="CO39" s="29"/>
      <c r="CP39" s="197"/>
      <c r="CQ39" s="84"/>
      <c r="CS39" s="85"/>
      <c r="CT39" s="86"/>
    </row>
    <row r="40" spans="3:98" ht="19.5" thickBot="1">
      <c r="C40" s="29"/>
      <c r="D40" s="29"/>
      <c r="E40" s="291">
        <v>44</v>
      </c>
      <c r="F40" s="292">
        <f>N36-N12-N13-N14-N34-N33-N32-N31</f>
        <v>2288729.4</v>
      </c>
      <c r="G40" s="85"/>
      <c r="H40" s="28" t="s">
        <v>252</v>
      </c>
      <c r="I40" s="28">
        <f>AR36-AR33-AR32-AR31-AR12-AR13-AR14</f>
        <v>445074.74</v>
      </c>
      <c r="J40" s="28">
        <v>0</v>
      </c>
      <c r="K40" s="28">
        <v>0</v>
      </c>
      <c r="L40" s="200"/>
      <c r="M40" s="200"/>
      <c r="N40" s="23" t="s">
        <v>189</v>
      </c>
      <c r="O40" s="24">
        <v>9171000</v>
      </c>
      <c r="P40" s="24">
        <f>P12+P14</f>
        <v>9182688.64</v>
      </c>
      <c r="Q40" s="24">
        <f t="shared" si="13"/>
        <v>-11688.64</v>
      </c>
      <c r="R40" s="104"/>
      <c r="S40" s="104"/>
      <c r="AU40" s="270"/>
      <c r="CC40" s="55"/>
      <c r="CD40" s="48" t="s">
        <v>59</v>
      </c>
      <c r="CE40" s="46"/>
      <c r="CF40" s="46"/>
      <c r="CG40" s="46"/>
      <c r="CH40" s="43"/>
      <c r="CI40" s="43"/>
      <c r="CJ40" s="43"/>
      <c r="CK40" s="43"/>
      <c r="CL40" s="43"/>
      <c r="CM40" s="43"/>
      <c r="CN40" s="43"/>
      <c r="CO40" s="29"/>
      <c r="CP40" s="197"/>
      <c r="CQ40" s="84"/>
      <c r="CS40" s="85"/>
      <c r="CT40" s="86"/>
    </row>
    <row r="41" spans="3:98" ht="19.5" thickBot="1">
      <c r="C41" s="127"/>
      <c r="D41" s="29"/>
      <c r="E41" s="293">
        <v>223</v>
      </c>
      <c r="F41" s="248">
        <f>D36-D12-D13-D14-D34-D33-D32-D31</f>
        <v>3239364.73</v>
      </c>
      <c r="G41" s="85"/>
      <c r="H41" s="28" t="s">
        <v>253</v>
      </c>
      <c r="I41" s="28">
        <f>N36-N31-N32-N33-N12-N13-N14</f>
        <v>2288729.4</v>
      </c>
      <c r="J41" s="28">
        <f>1978734.68+338000</f>
        <v>2316734.68</v>
      </c>
      <c r="K41" s="28">
        <f>304000+1963861.21</f>
        <v>2267861.21</v>
      </c>
      <c r="L41" s="200"/>
      <c r="M41" s="200"/>
      <c r="N41" s="23" t="s">
        <v>190</v>
      </c>
      <c r="O41" s="290">
        <v>1064000</v>
      </c>
      <c r="P41" s="24">
        <f>O16</f>
        <v>1064000</v>
      </c>
      <c r="Q41" s="24">
        <f t="shared" si="13"/>
        <v>0</v>
      </c>
      <c r="R41" s="104"/>
      <c r="S41" s="104"/>
      <c r="CC41" s="55"/>
      <c r="CD41" s="51"/>
      <c r="CE41" s="46"/>
      <c r="CF41" s="46"/>
      <c r="CG41" s="46"/>
      <c r="CH41" s="43"/>
      <c r="CI41" s="43"/>
      <c r="CJ41" s="43"/>
      <c r="CK41" s="43"/>
      <c r="CL41" s="43"/>
      <c r="CM41" s="43"/>
      <c r="CN41" s="43"/>
      <c r="CO41" s="29"/>
      <c r="CP41" s="197"/>
      <c r="CQ41" s="84"/>
      <c r="CR41" s="173" t="s">
        <v>60</v>
      </c>
      <c r="CS41" s="85"/>
      <c r="CT41" s="86"/>
    </row>
    <row r="42" spans="1:98" ht="18.75" customHeight="1">
      <c r="A42" s="29"/>
      <c r="B42" s="29"/>
      <c r="C42" s="29"/>
      <c r="D42" s="29"/>
      <c r="E42" s="246"/>
      <c r="F42" s="248">
        <f>F40+F41</f>
        <v>5528094.13</v>
      </c>
      <c r="G42" s="129"/>
      <c r="H42" s="294" t="s">
        <v>254</v>
      </c>
      <c r="I42" s="28">
        <f>CL148+CL172+CK190+CK191+CK192+CK193+CK194+CK195+CK196+CK197+CK198+CK232+CK233+CK234+CK237+CK242+CK248+CK252</f>
        <v>61224.83</v>
      </c>
      <c r="J42" s="28">
        <v>62007.05</v>
      </c>
      <c r="K42" s="28">
        <v>64487.33</v>
      </c>
      <c r="N42" s="295" t="s">
        <v>221</v>
      </c>
      <c r="O42" s="296">
        <v>180000</v>
      </c>
      <c r="P42" s="296">
        <f>Q36-Q19</f>
        <v>180000</v>
      </c>
      <c r="Q42" s="24">
        <f t="shared" si="13"/>
        <v>0</v>
      </c>
      <c r="CC42" s="55"/>
      <c r="CD42" s="12" t="s">
        <v>51</v>
      </c>
      <c r="CE42" s="429" t="s">
        <v>26</v>
      </c>
      <c r="CF42" s="429" t="s">
        <v>61</v>
      </c>
      <c r="CG42" s="429" t="s">
        <v>62</v>
      </c>
      <c r="CH42" s="429" t="s">
        <v>63</v>
      </c>
      <c r="CI42" s="429" t="s">
        <v>55</v>
      </c>
      <c r="CJ42" s="43"/>
      <c r="CK42" s="43"/>
      <c r="CL42" s="43"/>
      <c r="CM42" s="43"/>
      <c r="CN42" s="43"/>
      <c r="CO42" s="29"/>
      <c r="CP42" s="197"/>
      <c r="CQ42" s="84"/>
      <c r="CS42" s="85"/>
      <c r="CT42" s="86"/>
    </row>
    <row r="43" spans="1:98" ht="19.5" customHeight="1" thickBot="1">
      <c r="A43" s="29"/>
      <c r="B43" s="29"/>
      <c r="C43" s="174"/>
      <c r="D43" s="174"/>
      <c r="E43" s="55"/>
      <c r="F43" s="297"/>
      <c r="G43" s="111"/>
      <c r="H43" s="294" t="s">
        <v>255</v>
      </c>
      <c r="I43" s="28">
        <f>D36-D31-D32-D33-D12-D13-D14-I42</f>
        <v>3178139.9</v>
      </c>
      <c r="J43" s="28">
        <v>5028567.23</v>
      </c>
      <c r="K43" s="28">
        <v>5026086.95</v>
      </c>
      <c r="N43" s="295" t="s">
        <v>222</v>
      </c>
      <c r="O43" s="296">
        <v>54700</v>
      </c>
      <c r="P43" s="296">
        <f>Q19</f>
        <v>54700</v>
      </c>
      <c r="Q43" s="24">
        <f t="shared" si="13"/>
        <v>0</v>
      </c>
      <c r="AV43" s="274"/>
      <c r="CC43" s="55"/>
      <c r="CD43" s="3" t="s">
        <v>39</v>
      </c>
      <c r="CE43" s="430"/>
      <c r="CF43" s="430"/>
      <c r="CG43" s="430"/>
      <c r="CH43" s="430"/>
      <c r="CI43" s="430"/>
      <c r="CJ43" s="43"/>
      <c r="CK43" s="43"/>
      <c r="CL43" s="43"/>
      <c r="CM43" s="43"/>
      <c r="CN43" s="43"/>
      <c r="CO43" s="29"/>
      <c r="CP43" s="197"/>
      <c r="CQ43" s="84"/>
      <c r="CS43" s="85"/>
      <c r="CT43" s="86"/>
    </row>
    <row r="44" spans="1:98" ht="19.5" thickBot="1">
      <c r="A44" s="29"/>
      <c r="B44" s="29"/>
      <c r="C44" s="174"/>
      <c r="D44" s="174"/>
      <c r="E44" s="55"/>
      <c r="F44" s="297"/>
      <c r="G44" s="111"/>
      <c r="H44" s="29"/>
      <c r="I44" s="85">
        <f>SUM(I40:I43)</f>
        <v>5973168.87</v>
      </c>
      <c r="J44" s="85">
        <f>SUM(J40:J43)</f>
        <v>7407308.96</v>
      </c>
      <c r="K44" s="85">
        <f>SUM(K40:K43)</f>
        <v>7358435.49</v>
      </c>
      <c r="N44" s="23" t="s">
        <v>32</v>
      </c>
      <c r="O44" s="24">
        <v>0</v>
      </c>
      <c r="P44" s="24">
        <f>P13</f>
        <v>0</v>
      </c>
      <c r="Q44" s="24">
        <f t="shared" si="13"/>
        <v>0</v>
      </c>
      <c r="R44" s="274"/>
      <c r="S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CC44" s="55"/>
      <c r="CD44" s="4">
        <v>1</v>
      </c>
      <c r="CE44" s="13">
        <v>2</v>
      </c>
      <c r="CF44" s="13">
        <v>3</v>
      </c>
      <c r="CG44" s="13">
        <v>4</v>
      </c>
      <c r="CH44" s="13">
        <v>5</v>
      </c>
      <c r="CI44" s="13">
        <v>6</v>
      </c>
      <c r="CJ44" s="43"/>
      <c r="CK44" s="43"/>
      <c r="CL44" s="43"/>
      <c r="CM44" s="43"/>
      <c r="CN44" s="43"/>
      <c r="CO44" s="29"/>
      <c r="CP44" s="197"/>
      <c r="CQ44" s="84"/>
      <c r="CR44" s="1" t="s">
        <v>8</v>
      </c>
      <c r="CS44" s="85">
        <f>P13+O13</f>
        <v>0</v>
      </c>
      <c r="CT44" s="86">
        <f>$CS$44-$CI$46</f>
        <v>0</v>
      </c>
    </row>
    <row r="45" spans="1:98" ht="19.5" thickBot="1">
      <c r="A45" s="29"/>
      <c r="B45" s="29"/>
      <c r="C45" s="174"/>
      <c r="D45" s="174"/>
      <c r="E45" s="298"/>
      <c r="F45" s="299">
        <f>C36-C12-C13-C14-C31-C32-C33-C34</f>
        <v>5973168.87</v>
      </c>
      <c r="G45" s="112"/>
      <c r="H45" s="29"/>
      <c r="J45" s="104"/>
      <c r="K45" s="29"/>
      <c r="N45" s="23" t="s">
        <v>191</v>
      </c>
      <c r="O45" s="24">
        <v>31848.09</v>
      </c>
      <c r="P45" s="24">
        <f>O26</f>
        <v>31848.09</v>
      </c>
      <c r="Q45" s="24">
        <f t="shared" si="13"/>
        <v>0</v>
      </c>
      <c r="CC45" s="55"/>
      <c r="CD45" s="300">
        <v>1</v>
      </c>
      <c r="CE45" s="64" t="s">
        <v>64</v>
      </c>
      <c r="CF45" s="301">
        <f>CI45/CH45/CG45</f>
        <v>0</v>
      </c>
      <c r="CG45" s="64">
        <v>12</v>
      </c>
      <c r="CH45" s="64">
        <v>57.5</v>
      </c>
      <c r="CI45" s="302">
        <f>N13</f>
        <v>0</v>
      </c>
      <c r="CJ45" s="43"/>
      <c r="CK45" s="43"/>
      <c r="CL45" s="43"/>
      <c r="CM45" s="43"/>
      <c r="CN45" s="43"/>
      <c r="CO45" s="29"/>
      <c r="CP45" s="197"/>
      <c r="CQ45" s="84"/>
      <c r="CR45" s="1" t="s">
        <v>5</v>
      </c>
      <c r="CS45" s="85">
        <f>$D$13</f>
        <v>0</v>
      </c>
      <c r="CT45" s="86"/>
    </row>
    <row r="46" spans="1:98" ht="19.5" thickBot="1">
      <c r="A46" s="126"/>
      <c r="B46" s="29"/>
      <c r="C46" s="115"/>
      <c r="D46" s="115">
        <f>E37+J37</f>
        <v>102879.2</v>
      </c>
      <c r="E46" s="116"/>
      <c r="F46" s="29"/>
      <c r="G46" s="29"/>
      <c r="H46" s="29"/>
      <c r="I46" s="104">
        <f>I44-F45</f>
        <v>0</v>
      </c>
      <c r="K46" s="29"/>
      <c r="N46" s="26"/>
      <c r="O46" s="27">
        <f>SUM(O38:O45)</f>
        <v>14772162.68</v>
      </c>
      <c r="P46" s="27">
        <f>SUM(P38:P45)</f>
        <v>14783851.32</v>
      </c>
      <c r="Q46" s="27">
        <f>SUM(Q38:Q44)</f>
        <v>-11688.64</v>
      </c>
      <c r="AU46" s="274"/>
      <c r="CC46" s="55"/>
      <c r="CD46" s="436" t="s">
        <v>48</v>
      </c>
      <c r="CE46" s="437"/>
      <c r="CF46" s="69" t="s">
        <v>56</v>
      </c>
      <c r="CG46" s="69" t="s">
        <v>56</v>
      </c>
      <c r="CH46" s="69" t="s">
        <v>56</v>
      </c>
      <c r="CI46" s="69">
        <f>SUM(CI45)</f>
        <v>0</v>
      </c>
      <c r="CJ46" s="43"/>
      <c r="CK46" s="43"/>
      <c r="CL46" s="43"/>
      <c r="CM46" s="43"/>
      <c r="CN46" s="43"/>
      <c r="CO46" s="29"/>
      <c r="CP46" s="197"/>
      <c r="CQ46" s="84"/>
      <c r="CS46" s="85"/>
      <c r="CT46" s="86"/>
    </row>
    <row r="47" spans="1:98" ht="18.75">
      <c r="A47" s="126"/>
      <c r="B47" s="29"/>
      <c r="C47" s="117"/>
      <c r="D47" s="117"/>
      <c r="E47" s="118"/>
      <c r="F47" s="127"/>
      <c r="G47" s="127"/>
      <c r="H47" s="29"/>
      <c r="I47" s="29"/>
      <c r="J47" s="129"/>
      <c r="K47" s="29"/>
      <c r="N47" s="303"/>
      <c r="R47" s="85"/>
      <c r="CC47" s="55"/>
      <c r="CD47" s="434"/>
      <c r="CE47" s="435"/>
      <c r="CF47" s="435"/>
      <c r="CG47" s="435"/>
      <c r="CH47" s="435"/>
      <c r="CI47" s="471"/>
      <c r="CJ47" s="43"/>
      <c r="CK47" s="43"/>
      <c r="CL47" s="43"/>
      <c r="CM47" s="43"/>
      <c r="CN47" s="43"/>
      <c r="CO47" s="29"/>
      <c r="CP47" s="197"/>
      <c r="CQ47" s="84"/>
      <c r="CS47" s="85"/>
      <c r="CT47" s="86"/>
    </row>
    <row r="48" spans="1:98" ht="18.75" customHeight="1">
      <c r="A48" s="128"/>
      <c r="B48" s="29"/>
      <c r="C48" s="117"/>
      <c r="D48" s="117"/>
      <c r="E48" s="118"/>
      <c r="F48" s="29"/>
      <c r="G48" s="127"/>
      <c r="H48" s="29"/>
      <c r="I48" s="29"/>
      <c r="J48" s="129"/>
      <c r="K48" s="29"/>
      <c r="Q48" s="85"/>
      <c r="R48" s="85"/>
      <c r="CC48" s="55"/>
      <c r="CD48" s="468" t="s">
        <v>57</v>
      </c>
      <c r="CE48" s="469"/>
      <c r="CF48" s="469"/>
      <c r="CG48" s="469"/>
      <c r="CH48" s="469"/>
      <c r="CI48" s="470"/>
      <c r="CJ48" s="43"/>
      <c r="CK48" s="43"/>
      <c r="CL48" s="43"/>
      <c r="CM48" s="43"/>
      <c r="CN48" s="43"/>
      <c r="CO48" s="29"/>
      <c r="CP48" s="197"/>
      <c r="CQ48" s="84"/>
      <c r="CS48" s="85"/>
      <c r="CT48" s="86"/>
    </row>
    <row r="49" spans="1:98" ht="18.75">
      <c r="A49" s="128"/>
      <c r="B49" s="29"/>
      <c r="C49" s="117"/>
      <c r="D49" s="117"/>
      <c r="E49" s="119"/>
      <c r="F49" s="129"/>
      <c r="G49" s="129"/>
      <c r="H49" s="29"/>
      <c r="I49" s="29"/>
      <c r="J49" s="129"/>
      <c r="K49" s="29"/>
      <c r="N49" s="104"/>
      <c r="P49" s="304"/>
      <c r="Q49" s="85"/>
      <c r="CC49" s="55"/>
      <c r="CD49" s="176"/>
      <c r="CE49" s="176"/>
      <c r="CF49" s="176"/>
      <c r="CG49" s="176"/>
      <c r="CH49" s="176"/>
      <c r="CI49" s="176"/>
      <c r="CJ49" s="43"/>
      <c r="CK49" s="43"/>
      <c r="CL49" s="43"/>
      <c r="CM49" s="43"/>
      <c r="CN49" s="43"/>
      <c r="CO49" s="29"/>
      <c r="CP49" s="197"/>
      <c r="CQ49" s="84"/>
      <c r="CS49" s="85"/>
      <c r="CT49" s="86"/>
    </row>
    <row r="50" spans="1:98" ht="18.75">
      <c r="A50" s="29"/>
      <c r="B50" s="29"/>
      <c r="C50" s="120"/>
      <c r="D50" s="117"/>
      <c r="E50" s="121"/>
      <c r="F50" s="29"/>
      <c r="G50" s="127"/>
      <c r="H50" s="29"/>
      <c r="I50" s="29"/>
      <c r="J50" s="29"/>
      <c r="K50" s="29"/>
      <c r="O50" s="199"/>
      <c r="Q50" s="85"/>
      <c r="R50" s="85"/>
      <c r="CC50" s="55"/>
      <c r="CD50" s="176"/>
      <c r="CE50" s="176"/>
      <c r="CF50" s="176"/>
      <c r="CG50" s="176"/>
      <c r="CH50" s="176"/>
      <c r="CI50" s="176"/>
      <c r="CJ50" s="43"/>
      <c r="CK50" s="43"/>
      <c r="CL50" s="43"/>
      <c r="CM50" s="43"/>
      <c r="CN50" s="43"/>
      <c r="CO50" s="29"/>
      <c r="CP50" s="197"/>
      <c r="CQ50" s="84"/>
      <c r="CS50" s="85"/>
      <c r="CT50" s="86"/>
    </row>
    <row r="51" spans="1:98" ht="18.75">
      <c r="A51" s="29"/>
      <c r="B51" s="29"/>
      <c r="C51" s="117"/>
      <c r="D51" s="130"/>
      <c r="E51" s="118"/>
      <c r="F51" s="29"/>
      <c r="G51" s="29"/>
      <c r="H51" s="29"/>
      <c r="I51" s="29"/>
      <c r="J51" s="29"/>
      <c r="K51" s="29"/>
      <c r="O51" s="85"/>
      <c r="P51" s="85"/>
      <c r="Q51" s="85"/>
      <c r="R51" s="85"/>
      <c r="S51" s="85"/>
      <c r="T51" s="85"/>
      <c r="CC51" s="55"/>
      <c r="CD51" s="48" t="s">
        <v>65</v>
      </c>
      <c r="CE51" s="177"/>
      <c r="CF51" s="177"/>
      <c r="CG51" s="177"/>
      <c r="CH51" s="65"/>
      <c r="CI51" s="65"/>
      <c r="CJ51" s="43"/>
      <c r="CK51" s="43"/>
      <c r="CL51" s="43"/>
      <c r="CM51" s="43"/>
      <c r="CN51" s="43"/>
      <c r="CO51" s="29"/>
      <c r="CP51" s="197"/>
      <c r="CQ51" s="84"/>
      <c r="CS51" s="85"/>
      <c r="CT51" s="86"/>
    </row>
    <row r="52" spans="1:98" ht="18.75">
      <c r="A52" s="29"/>
      <c r="B52" s="29"/>
      <c r="C52" s="117"/>
      <c r="D52" s="130"/>
      <c r="E52" s="118"/>
      <c r="F52" s="29"/>
      <c r="G52" s="29"/>
      <c r="H52" s="29"/>
      <c r="I52" s="29"/>
      <c r="J52" s="29"/>
      <c r="K52" s="29"/>
      <c r="O52" s="85"/>
      <c r="P52" s="85"/>
      <c r="Q52" s="85"/>
      <c r="R52" s="85"/>
      <c r="S52" s="85"/>
      <c r="T52" s="85"/>
      <c r="CC52" s="55"/>
      <c r="CD52" s="48" t="s">
        <v>66</v>
      </c>
      <c r="CE52" s="177"/>
      <c r="CF52" s="177"/>
      <c r="CG52" s="177"/>
      <c r="CH52" s="65"/>
      <c r="CI52" s="65"/>
      <c r="CJ52" s="43"/>
      <c r="CK52" s="43"/>
      <c r="CL52" s="43"/>
      <c r="CM52" s="43"/>
      <c r="CN52" s="43"/>
      <c r="CO52" s="29"/>
      <c r="CP52" s="197"/>
      <c r="CQ52" s="84"/>
      <c r="CS52" s="85"/>
      <c r="CT52" s="86"/>
    </row>
    <row r="53" spans="1:98" ht="18.75">
      <c r="A53" s="29"/>
      <c r="B53" s="29"/>
      <c r="C53" s="117"/>
      <c r="D53" s="130"/>
      <c r="E53" s="118"/>
      <c r="F53" s="29"/>
      <c r="G53" s="29"/>
      <c r="H53" s="29"/>
      <c r="I53" s="29"/>
      <c r="J53" s="29"/>
      <c r="K53" s="29"/>
      <c r="O53" s="85"/>
      <c r="P53" s="85"/>
      <c r="Q53" s="85"/>
      <c r="R53" s="85"/>
      <c r="S53" s="85"/>
      <c r="T53" s="85"/>
      <c r="CC53" s="55"/>
      <c r="CD53" s="48" t="s">
        <v>67</v>
      </c>
      <c r="CE53" s="177"/>
      <c r="CF53" s="177"/>
      <c r="CG53" s="177"/>
      <c r="CH53" s="65"/>
      <c r="CI53" s="65"/>
      <c r="CJ53" s="43"/>
      <c r="CK53" s="43"/>
      <c r="CL53" s="43"/>
      <c r="CM53" s="43"/>
      <c r="CN53" s="43"/>
      <c r="CO53" s="29"/>
      <c r="CP53" s="197"/>
      <c r="CQ53" s="84"/>
      <c r="CS53" s="85"/>
      <c r="CT53" s="86"/>
    </row>
    <row r="54" spans="1:98" ht="18.75">
      <c r="A54" s="29"/>
      <c r="B54" s="29"/>
      <c r="C54" s="117"/>
      <c r="D54" s="130"/>
      <c r="E54" s="118"/>
      <c r="F54" s="29"/>
      <c r="G54" s="29"/>
      <c r="H54" s="29"/>
      <c r="I54" s="29"/>
      <c r="J54" s="29"/>
      <c r="K54" s="29"/>
      <c r="O54" s="85"/>
      <c r="P54" s="85"/>
      <c r="Q54" s="85"/>
      <c r="R54" s="85"/>
      <c r="S54" s="85"/>
      <c r="T54" s="85"/>
      <c r="CC54" s="55"/>
      <c r="CD54" s="48" t="s">
        <v>68</v>
      </c>
      <c r="CE54" s="177"/>
      <c r="CF54" s="177"/>
      <c r="CG54" s="177"/>
      <c r="CH54" s="65"/>
      <c r="CI54" s="65"/>
      <c r="CJ54" s="43"/>
      <c r="CK54" s="43"/>
      <c r="CL54" s="43"/>
      <c r="CM54" s="43"/>
      <c r="CN54" s="43"/>
      <c r="CO54" s="29"/>
      <c r="CP54" s="197"/>
      <c r="CQ54" s="84"/>
      <c r="CS54" s="85"/>
      <c r="CT54" s="86"/>
    </row>
    <row r="55" spans="1:98" ht="19.5" thickBot="1">
      <c r="A55" s="29"/>
      <c r="B55" s="29"/>
      <c r="C55" s="117"/>
      <c r="D55" s="130"/>
      <c r="E55" s="118"/>
      <c r="F55" s="29"/>
      <c r="G55" s="29"/>
      <c r="H55" s="29"/>
      <c r="I55" s="29"/>
      <c r="J55" s="29"/>
      <c r="K55" s="29"/>
      <c r="O55" s="85"/>
      <c r="P55" s="85"/>
      <c r="Q55" s="85"/>
      <c r="R55" s="85"/>
      <c r="S55" s="85"/>
      <c r="T55" s="85"/>
      <c r="CC55" s="55"/>
      <c r="CD55" s="33"/>
      <c r="CE55" s="46"/>
      <c r="CF55" s="46"/>
      <c r="CG55" s="46"/>
      <c r="CH55" s="43"/>
      <c r="CI55" s="43"/>
      <c r="CJ55" s="43"/>
      <c r="CK55" s="43"/>
      <c r="CL55" s="43"/>
      <c r="CM55" s="43"/>
      <c r="CN55" s="43"/>
      <c r="CO55" s="29"/>
      <c r="CP55" s="197"/>
      <c r="CQ55" s="84"/>
      <c r="CS55" s="85"/>
      <c r="CT55" s="86"/>
    </row>
    <row r="56" spans="1:98" ht="19.5" customHeight="1" thickBot="1">
      <c r="A56" s="29"/>
      <c r="B56" s="29"/>
      <c r="C56" s="117"/>
      <c r="D56" s="118"/>
      <c r="E56" s="118"/>
      <c r="F56" s="29"/>
      <c r="G56" s="29"/>
      <c r="H56" s="29"/>
      <c r="I56" s="29"/>
      <c r="J56" s="29"/>
      <c r="K56" s="29"/>
      <c r="O56" s="85"/>
      <c r="P56" s="85"/>
      <c r="Q56" s="85"/>
      <c r="R56" s="85"/>
      <c r="S56" s="85"/>
      <c r="T56" s="85"/>
      <c r="CC56" s="55"/>
      <c r="CD56" s="12" t="s">
        <v>51</v>
      </c>
      <c r="CE56" s="429" t="s">
        <v>69</v>
      </c>
      <c r="CF56" s="429" t="s">
        <v>70</v>
      </c>
      <c r="CG56" s="429" t="s">
        <v>71</v>
      </c>
      <c r="CH56" s="431" t="s">
        <v>43</v>
      </c>
      <c r="CI56" s="432"/>
      <c r="CJ56" s="433"/>
      <c r="CK56" s="43"/>
      <c r="CL56" s="43"/>
      <c r="CM56" s="43"/>
      <c r="CN56" s="43"/>
      <c r="CO56" s="29"/>
      <c r="CP56" s="197"/>
      <c r="CQ56" s="84"/>
      <c r="CS56" s="85"/>
      <c r="CT56" s="86"/>
    </row>
    <row r="57" spans="1:98" ht="38.25" thickBot="1">
      <c r="A57" s="29"/>
      <c r="B57" s="29"/>
      <c r="C57" s="131"/>
      <c r="D57" s="117"/>
      <c r="E57" s="118"/>
      <c r="F57" s="29"/>
      <c r="G57" s="29"/>
      <c r="O57" s="85"/>
      <c r="P57" s="85"/>
      <c r="Q57" s="85"/>
      <c r="R57" s="85"/>
      <c r="S57" s="85"/>
      <c r="T57" s="85"/>
      <c r="CC57" s="55"/>
      <c r="CD57" s="3" t="s">
        <v>39</v>
      </c>
      <c r="CE57" s="430"/>
      <c r="CF57" s="430"/>
      <c r="CG57" s="430"/>
      <c r="CH57" s="3" t="s">
        <v>46</v>
      </c>
      <c r="CI57" s="3" t="s">
        <v>47</v>
      </c>
      <c r="CJ57" s="265" t="s">
        <v>220</v>
      </c>
      <c r="CK57" s="43"/>
      <c r="CL57" s="43"/>
      <c r="CM57" s="43"/>
      <c r="CN57" s="43"/>
      <c r="CO57" s="29"/>
      <c r="CP57" s="197"/>
      <c r="CQ57" s="84"/>
      <c r="CS57" s="85"/>
      <c r="CT57" s="86"/>
    </row>
    <row r="58" spans="1:98" ht="19.5" thickBot="1">
      <c r="A58" s="29"/>
      <c r="B58" s="29"/>
      <c r="C58" s="132"/>
      <c r="D58" s="117"/>
      <c r="E58" s="121"/>
      <c r="F58" s="29"/>
      <c r="G58" s="29"/>
      <c r="N58" s="85"/>
      <c r="O58" s="85"/>
      <c r="P58" s="85"/>
      <c r="Q58" s="85"/>
      <c r="R58" s="85"/>
      <c r="S58" s="85"/>
      <c r="T58" s="85"/>
      <c r="CC58" s="55"/>
      <c r="CD58" s="4">
        <v>1</v>
      </c>
      <c r="CE58" s="13">
        <v>2</v>
      </c>
      <c r="CF58" s="13">
        <v>3</v>
      </c>
      <c r="CG58" s="2">
        <v>4</v>
      </c>
      <c r="CH58" s="66">
        <v>5</v>
      </c>
      <c r="CI58" s="66">
        <v>6</v>
      </c>
      <c r="CJ58" s="266">
        <v>7</v>
      </c>
      <c r="CK58" s="43"/>
      <c r="CL58" s="43"/>
      <c r="CM58" s="43"/>
      <c r="CN58" s="43"/>
      <c r="CO58" s="29"/>
      <c r="CP58" s="197"/>
      <c r="CQ58" s="84"/>
      <c r="CS58" s="85"/>
      <c r="CT58" s="86"/>
    </row>
    <row r="59" spans="1:98" ht="56.25">
      <c r="A59" s="29"/>
      <c r="B59" s="29"/>
      <c r="C59" s="122"/>
      <c r="D59" s="122"/>
      <c r="E59" s="123"/>
      <c r="F59" s="29"/>
      <c r="G59" s="29"/>
      <c r="CC59" s="55"/>
      <c r="CD59" s="6">
        <v>1</v>
      </c>
      <c r="CE59" s="14" t="s">
        <v>72</v>
      </c>
      <c r="CF59" s="15" t="s">
        <v>56</v>
      </c>
      <c r="CG59" s="95">
        <f>CG60+CG61+CG62</f>
        <v>2071916</v>
      </c>
      <c r="CH59" s="95">
        <f>CH60+CH61+CH62</f>
        <v>2038547.75</v>
      </c>
      <c r="CI59" s="95">
        <f>CI60+CI61+CI62</f>
        <v>33368.25</v>
      </c>
      <c r="CJ59" s="96">
        <f>CJ60+CJ61+CJ62</f>
        <v>0</v>
      </c>
      <c r="CK59" s="272">
        <f>CG59-CH59-CI59-CJ59</f>
        <v>0</v>
      </c>
      <c r="CL59" s="43"/>
      <c r="CM59" s="43"/>
      <c r="CN59" s="43"/>
      <c r="CO59" s="29"/>
      <c r="CP59" s="197"/>
      <c r="CQ59" s="84"/>
      <c r="CS59" s="85"/>
      <c r="CT59" s="86"/>
    </row>
    <row r="60" spans="1:98" ht="18.75">
      <c r="A60" s="29"/>
      <c r="B60" s="29"/>
      <c r="C60" s="124"/>
      <c r="D60" s="124"/>
      <c r="E60" s="125"/>
      <c r="F60" s="29"/>
      <c r="G60" s="29"/>
      <c r="N60" s="85"/>
      <c r="O60" s="85"/>
      <c r="P60" s="85"/>
      <c r="Q60" s="85"/>
      <c r="R60" s="85"/>
      <c r="S60" s="85"/>
      <c r="T60" s="85"/>
      <c r="CC60" s="55"/>
      <c r="CD60" s="16" t="s">
        <v>73</v>
      </c>
      <c r="CE60" s="17" t="s">
        <v>74</v>
      </c>
      <c r="CF60" s="18">
        <f>CJ22</f>
        <v>9417800.02</v>
      </c>
      <c r="CG60" s="91">
        <f>CJ22*0.22</f>
        <v>2071916</v>
      </c>
      <c r="CH60" s="91">
        <f>CK20*0.22</f>
        <v>2038547.75</v>
      </c>
      <c r="CI60" s="91">
        <f>CL21*0.22-0.01</f>
        <v>33368.25</v>
      </c>
      <c r="CJ60" s="97">
        <f>CM20*0.22</f>
        <v>0</v>
      </c>
      <c r="CK60" s="272">
        <f aca="true" t="shared" si="14" ref="CK60:CK68">CG60-CH60-CI60-CJ60</f>
        <v>0</v>
      </c>
      <c r="CL60" s="43"/>
      <c r="CM60" s="43"/>
      <c r="CN60" s="43"/>
      <c r="CO60" s="29"/>
      <c r="CP60" s="197"/>
      <c r="CQ60" s="84"/>
      <c r="CS60" s="85"/>
      <c r="CT60" s="86"/>
    </row>
    <row r="61" spans="1:98" ht="18.75">
      <c r="A61" s="29"/>
      <c r="B61" s="29"/>
      <c r="C61" s="29"/>
      <c r="D61" s="29"/>
      <c r="E61" s="29"/>
      <c r="F61" s="29"/>
      <c r="G61" s="29"/>
      <c r="N61" s="86"/>
      <c r="Q61" s="85"/>
      <c r="R61" s="85"/>
      <c r="CC61" s="55"/>
      <c r="CD61" s="16" t="s">
        <v>75</v>
      </c>
      <c r="CE61" s="19" t="s">
        <v>76</v>
      </c>
      <c r="CF61" s="18">
        <v>0</v>
      </c>
      <c r="CG61" s="91">
        <v>0</v>
      </c>
      <c r="CH61" s="92"/>
      <c r="CI61" s="92"/>
      <c r="CJ61" s="98"/>
      <c r="CK61" s="272">
        <f t="shared" si="14"/>
        <v>0</v>
      </c>
      <c r="CL61" s="43"/>
      <c r="CM61" s="43"/>
      <c r="CN61" s="43"/>
      <c r="CO61" s="29"/>
      <c r="CP61" s="197"/>
      <c r="CQ61" s="84"/>
      <c r="CS61" s="85"/>
      <c r="CT61" s="86"/>
    </row>
    <row r="62" spans="1:98" ht="75">
      <c r="A62" s="29"/>
      <c r="B62" s="29"/>
      <c r="C62" s="29"/>
      <c r="D62" s="29"/>
      <c r="E62" s="29"/>
      <c r="F62" s="29"/>
      <c r="G62" s="29"/>
      <c r="CC62" s="55"/>
      <c r="CD62" s="16" t="s">
        <v>77</v>
      </c>
      <c r="CE62" s="178" t="s">
        <v>78</v>
      </c>
      <c r="CF62" s="18">
        <v>0</v>
      </c>
      <c r="CG62" s="91">
        <v>0</v>
      </c>
      <c r="CH62" s="91"/>
      <c r="CI62" s="91"/>
      <c r="CJ62" s="97"/>
      <c r="CK62" s="272">
        <f t="shared" si="14"/>
        <v>0</v>
      </c>
      <c r="CL62" s="43"/>
      <c r="CM62" s="43"/>
      <c r="CN62" s="43"/>
      <c r="CO62" s="29"/>
      <c r="CP62" s="197"/>
      <c r="CQ62" s="84"/>
      <c r="CS62" s="85"/>
      <c r="CT62" s="86"/>
    </row>
    <row r="63" spans="1:98" ht="56.25">
      <c r="A63" s="29"/>
      <c r="B63" s="29"/>
      <c r="C63" s="29"/>
      <c r="D63" s="29"/>
      <c r="E63" s="29"/>
      <c r="F63" s="29"/>
      <c r="G63" s="29"/>
      <c r="CC63" s="55"/>
      <c r="CD63" s="16">
        <v>2</v>
      </c>
      <c r="CE63" s="19" t="s">
        <v>79</v>
      </c>
      <c r="CF63" s="18" t="s">
        <v>56</v>
      </c>
      <c r="CG63" s="91">
        <f>CG64+CG65+CG66+CG67+CG68</f>
        <v>294123.11</v>
      </c>
      <c r="CH63" s="91">
        <f>CH64+CH65+CH66+CH67+CH68</f>
        <v>289421.22</v>
      </c>
      <c r="CI63" s="91">
        <f>CI64+CI65+CI66+CI67+CI68</f>
        <v>4701.89</v>
      </c>
      <c r="CJ63" s="97">
        <f>CJ64+CJ65+CJ66+CJ67+CJ68</f>
        <v>0</v>
      </c>
      <c r="CK63" s="272">
        <f>CG63-CH63-CI63-CJ63</f>
        <v>0</v>
      </c>
      <c r="CL63" s="43"/>
      <c r="CM63" s="43"/>
      <c r="CN63" s="43"/>
      <c r="CO63" s="29"/>
      <c r="CP63" s="197"/>
      <c r="CQ63" s="84"/>
      <c r="CS63" s="85"/>
      <c r="CT63" s="86"/>
    </row>
    <row r="64" spans="1:98" ht="75">
      <c r="A64" s="29"/>
      <c r="B64" s="29"/>
      <c r="C64" s="29"/>
      <c r="D64" s="29"/>
      <c r="E64" s="29"/>
      <c r="F64" s="29"/>
      <c r="G64" s="29"/>
      <c r="CC64" s="55"/>
      <c r="CD64" s="16" t="s">
        <v>80</v>
      </c>
      <c r="CE64" s="178" t="s">
        <v>81</v>
      </c>
      <c r="CF64" s="18">
        <f>CJ22</f>
        <v>9417800.02</v>
      </c>
      <c r="CG64" s="91">
        <f>CJ22*0.029</f>
        <v>273116.2</v>
      </c>
      <c r="CH64" s="91">
        <f>CK20*0.029</f>
        <v>268717.66</v>
      </c>
      <c r="CI64" s="91">
        <f>CL21*0.029</f>
        <v>4398.54</v>
      </c>
      <c r="CJ64" s="97">
        <f>CM20*0.029</f>
        <v>0</v>
      </c>
      <c r="CK64" s="272">
        <f t="shared" si="14"/>
        <v>0</v>
      </c>
      <c r="CL64" s="43"/>
      <c r="CM64" s="43"/>
      <c r="CN64" s="43"/>
      <c r="CO64" s="29"/>
      <c r="CP64" s="197"/>
      <c r="CQ64" s="84"/>
      <c r="CS64" s="85"/>
      <c r="CT64" s="86"/>
    </row>
    <row r="65" spans="1:98" ht="75">
      <c r="A65" s="29"/>
      <c r="B65" s="29"/>
      <c r="C65" s="29"/>
      <c r="D65" s="29"/>
      <c r="E65" s="29"/>
      <c r="F65" s="29"/>
      <c r="G65" s="29"/>
      <c r="Q65" s="85"/>
      <c r="R65" s="85"/>
      <c r="CC65" s="55"/>
      <c r="CD65" s="16" t="s">
        <v>82</v>
      </c>
      <c r="CE65" s="178" t="s">
        <v>83</v>
      </c>
      <c r="CF65" s="18">
        <v>0</v>
      </c>
      <c r="CG65" s="91">
        <v>0</v>
      </c>
      <c r="CH65" s="91">
        <v>0</v>
      </c>
      <c r="CI65" s="91">
        <v>0</v>
      </c>
      <c r="CJ65" s="97">
        <v>0</v>
      </c>
      <c r="CK65" s="272">
        <f t="shared" si="14"/>
        <v>0</v>
      </c>
      <c r="CL65" s="43"/>
      <c r="CM65" s="43"/>
      <c r="CN65" s="43"/>
      <c r="CO65" s="29"/>
      <c r="CP65" s="197"/>
      <c r="CQ65" s="84"/>
      <c r="CS65" s="85"/>
      <c r="CT65" s="86"/>
    </row>
    <row r="66" spans="1:98" ht="94.5" thickBot="1">
      <c r="A66" s="29"/>
      <c r="B66" s="29"/>
      <c r="C66" s="29"/>
      <c r="D66" s="29"/>
      <c r="E66" s="29"/>
      <c r="F66" s="29"/>
      <c r="G66" s="29"/>
      <c r="O66" s="85"/>
      <c r="P66" s="85"/>
      <c r="Q66" s="85"/>
      <c r="R66" s="85"/>
      <c r="CC66" s="55"/>
      <c r="CD66" s="16" t="s">
        <v>84</v>
      </c>
      <c r="CE66" s="178" t="s">
        <v>85</v>
      </c>
      <c r="CF66" s="18">
        <f>CJ22</f>
        <v>9417800.02</v>
      </c>
      <c r="CG66" s="91">
        <f>CJ22/100*0.2+1320.39+10368.25-9517.33</f>
        <v>21006.91</v>
      </c>
      <c r="CH66" s="91">
        <f>CK20/100*0.2+1320.39+10368.25-9517.33</f>
        <v>20703.56</v>
      </c>
      <c r="CI66" s="91">
        <f>CL21/100*0.2</f>
        <v>303.35</v>
      </c>
      <c r="CJ66" s="97">
        <f>CM20/100*0.2</f>
        <v>0</v>
      </c>
      <c r="CK66" s="272">
        <f t="shared" si="14"/>
        <v>0</v>
      </c>
      <c r="CL66" s="43"/>
      <c r="CM66" s="43"/>
      <c r="CN66" s="43"/>
      <c r="CO66" s="29"/>
      <c r="CP66" s="197"/>
      <c r="CQ66" s="84"/>
      <c r="CS66" s="85"/>
      <c r="CT66" s="86"/>
    </row>
    <row r="67" spans="1:98" ht="94.5" thickBot="1">
      <c r="A67" s="29"/>
      <c r="B67" s="29"/>
      <c r="C67" s="29"/>
      <c r="D67" s="29"/>
      <c r="E67" s="29"/>
      <c r="F67" s="29"/>
      <c r="G67" s="29"/>
      <c r="O67" s="85"/>
      <c r="P67" s="85"/>
      <c r="Q67" s="85"/>
      <c r="R67" s="85"/>
      <c r="CC67" s="55"/>
      <c r="CD67" s="16" t="s">
        <v>86</v>
      </c>
      <c r="CE67" s="178" t="s">
        <v>87</v>
      </c>
      <c r="CF67" s="18">
        <v>0</v>
      </c>
      <c r="CG67" s="91">
        <v>0</v>
      </c>
      <c r="CH67" s="91">
        <v>0</v>
      </c>
      <c r="CI67" s="91">
        <v>0</v>
      </c>
      <c r="CJ67" s="97">
        <v>0</v>
      </c>
      <c r="CK67" s="272">
        <f t="shared" si="14"/>
        <v>0</v>
      </c>
      <c r="CL67" s="43"/>
      <c r="CM67" s="43"/>
      <c r="CN67" s="43"/>
      <c r="CO67" s="29"/>
      <c r="CP67" s="197"/>
      <c r="CQ67" s="84"/>
      <c r="CR67" s="173" t="s">
        <v>164</v>
      </c>
      <c r="CS67" s="85"/>
      <c r="CT67" s="86"/>
    </row>
    <row r="68" spans="16:98" ht="93.75">
      <c r="P68" s="85"/>
      <c r="Q68" s="85"/>
      <c r="R68" s="85"/>
      <c r="CC68" s="55"/>
      <c r="CD68" s="16" t="s">
        <v>88</v>
      </c>
      <c r="CE68" s="178" t="s">
        <v>87</v>
      </c>
      <c r="CF68" s="18">
        <v>0</v>
      </c>
      <c r="CG68" s="91">
        <v>0</v>
      </c>
      <c r="CH68" s="91">
        <v>0</v>
      </c>
      <c r="CI68" s="91">
        <v>0</v>
      </c>
      <c r="CJ68" s="97">
        <v>0</v>
      </c>
      <c r="CK68" s="272">
        <f t="shared" si="14"/>
        <v>0</v>
      </c>
      <c r="CL68" s="43"/>
      <c r="CM68" s="43"/>
      <c r="CN68" s="43"/>
      <c r="CO68" s="29"/>
      <c r="CP68" s="197"/>
      <c r="CQ68" s="84"/>
      <c r="CR68" s="1" t="s">
        <v>8</v>
      </c>
      <c r="CS68" s="85">
        <f>N14</f>
        <v>2783145.18</v>
      </c>
      <c r="CT68" s="86">
        <f>CS68-CH70</f>
        <v>0</v>
      </c>
    </row>
    <row r="69" spans="16:98" ht="57" thickBot="1">
      <c r="P69" s="85"/>
      <c r="Q69" s="85"/>
      <c r="R69" s="85"/>
      <c r="CC69" s="55"/>
      <c r="CD69" s="8">
        <v>3</v>
      </c>
      <c r="CE69" s="20" t="s">
        <v>89</v>
      </c>
      <c r="CF69" s="21">
        <f>CJ22</f>
        <v>9417800.02</v>
      </c>
      <c r="CG69" s="99">
        <f>CJ22/100*5.1-0.13-0.01-33329.19+15933.11+0.05</f>
        <v>462911.63</v>
      </c>
      <c r="CH69" s="99">
        <f>CK20/100*5.1-0.14-33329.19+15933.11</f>
        <v>455176.21</v>
      </c>
      <c r="CI69" s="99">
        <f>CL21/100*5.1+0.05</f>
        <v>7735.42</v>
      </c>
      <c r="CJ69" s="100">
        <f>CM20/100*5.1</f>
        <v>0</v>
      </c>
      <c r="CK69" s="272">
        <f>CG69-CH69-CI69-CJ69</f>
        <v>0</v>
      </c>
      <c r="CL69" s="43"/>
      <c r="CM69" s="43"/>
      <c r="CN69" s="43"/>
      <c r="CO69" s="29"/>
      <c r="CP69" s="197"/>
      <c r="CQ69" s="84"/>
      <c r="CR69" s="1" t="s">
        <v>5</v>
      </c>
      <c r="CS69" s="85">
        <f>$D$14</f>
        <v>45805.56</v>
      </c>
      <c r="CT69" s="86">
        <f>CS69-CI70</f>
        <v>0</v>
      </c>
    </row>
    <row r="70" spans="17:98" ht="19.5" thickBot="1">
      <c r="Q70" s="85"/>
      <c r="R70" s="85"/>
      <c r="CC70" s="55"/>
      <c r="CD70" s="436" t="s">
        <v>48</v>
      </c>
      <c r="CE70" s="437"/>
      <c r="CF70" s="22" t="s">
        <v>56</v>
      </c>
      <c r="CG70" s="93">
        <f>CG59+CG63+CG69</f>
        <v>2828950.74</v>
      </c>
      <c r="CH70" s="94">
        <f>CH59+CH63+CH69</f>
        <v>2783145.18</v>
      </c>
      <c r="CI70" s="94">
        <f>CI59+CI63+CI69</f>
        <v>45805.56</v>
      </c>
      <c r="CJ70" s="94">
        <f>CJ59+CJ63+CJ69</f>
        <v>0</v>
      </c>
      <c r="CK70" s="43"/>
      <c r="CL70" s="29"/>
      <c r="CM70" s="29"/>
      <c r="CN70" s="43"/>
      <c r="CO70" s="29"/>
      <c r="CP70" s="197"/>
      <c r="CQ70" s="84"/>
      <c r="CR70" s="1" t="s">
        <v>9</v>
      </c>
      <c r="CS70" s="200">
        <f>T15</f>
        <v>0</v>
      </c>
      <c r="CT70" s="86">
        <f>CS70-CJ70</f>
        <v>0</v>
      </c>
    </row>
    <row r="71" spans="1:98" ht="18.75">
      <c r="A71" s="33"/>
      <c r="B71" s="33"/>
      <c r="C71" s="33"/>
      <c r="D71" s="3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83"/>
      <c r="P71" s="83"/>
      <c r="Q71" s="305"/>
      <c r="R71" s="305"/>
      <c r="S71" s="83"/>
      <c r="CC71" s="55"/>
      <c r="CD71" s="33"/>
      <c r="CE71" s="46"/>
      <c r="CF71" s="46"/>
      <c r="CG71" s="46"/>
      <c r="CH71" s="43"/>
      <c r="CI71" s="43"/>
      <c r="CJ71" s="43"/>
      <c r="CK71" s="43"/>
      <c r="CL71" s="43"/>
      <c r="CM71" s="43"/>
      <c r="CN71" s="43"/>
      <c r="CO71" s="29"/>
      <c r="CP71" s="197"/>
      <c r="CQ71" s="84"/>
      <c r="CR71" s="85" t="s">
        <v>47</v>
      </c>
      <c r="CS71" s="85">
        <f>$E$14</f>
        <v>45805.56</v>
      </c>
      <c r="CT71" s="86"/>
    </row>
    <row r="72" spans="1:98" ht="18.75">
      <c r="A72" s="33"/>
      <c r="B72" s="33"/>
      <c r="C72" s="33"/>
      <c r="D72" s="3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83"/>
      <c r="P72" s="83"/>
      <c r="Q72" s="305"/>
      <c r="R72" s="305"/>
      <c r="S72" s="83"/>
      <c r="CC72" s="55"/>
      <c r="CD72" s="48" t="s">
        <v>90</v>
      </c>
      <c r="CE72" s="46"/>
      <c r="CF72" s="46"/>
      <c r="CG72" s="46"/>
      <c r="CH72" s="43"/>
      <c r="CI72" s="43"/>
      <c r="CJ72" s="43"/>
      <c r="CK72" s="43"/>
      <c r="CL72" s="43"/>
      <c r="CM72" s="43"/>
      <c r="CN72" s="43"/>
      <c r="CO72" s="29"/>
      <c r="CP72" s="197"/>
      <c r="CQ72" s="84"/>
      <c r="CR72" s="272">
        <f>CG70-CH70-CI70-CJ70</f>
        <v>0</v>
      </c>
      <c r="CS72" s="272">
        <f>CG70-C14</f>
        <v>0</v>
      </c>
      <c r="CT72" s="86"/>
    </row>
    <row r="73" spans="1:98" ht="19.5" thickBot="1">
      <c r="A73" s="35"/>
      <c r="B73" s="35"/>
      <c r="C73" s="34"/>
      <c r="D73" s="83"/>
      <c r="E73" s="36"/>
      <c r="F73" s="37"/>
      <c r="G73" s="37"/>
      <c r="H73" s="37"/>
      <c r="I73" s="37"/>
      <c r="J73" s="38"/>
      <c r="K73" s="38"/>
      <c r="L73" s="38"/>
      <c r="M73" s="38"/>
      <c r="N73" s="38"/>
      <c r="O73" s="83"/>
      <c r="P73" s="83"/>
      <c r="Q73" s="305"/>
      <c r="R73" s="305"/>
      <c r="S73" s="83"/>
      <c r="CC73" s="55"/>
      <c r="CD73" s="48" t="s">
        <v>91</v>
      </c>
      <c r="CE73" s="46"/>
      <c r="CF73" s="46"/>
      <c r="CG73" s="46"/>
      <c r="CH73" s="43"/>
      <c r="CI73" s="43"/>
      <c r="CJ73" s="43"/>
      <c r="CK73" s="43"/>
      <c r="CL73" s="43"/>
      <c r="CM73" s="43"/>
      <c r="CN73" s="43"/>
      <c r="CO73" s="29"/>
      <c r="CP73" s="197"/>
      <c r="CQ73" s="84"/>
      <c r="CS73" s="85"/>
      <c r="CT73" s="86"/>
    </row>
    <row r="74" spans="1:98" ht="19.5" thickBot="1">
      <c r="A74" s="306"/>
      <c r="B74" s="306"/>
      <c r="C74" s="34"/>
      <c r="D74" s="307"/>
      <c r="E74" s="36"/>
      <c r="F74" s="37"/>
      <c r="G74" s="37"/>
      <c r="H74" s="37"/>
      <c r="I74" s="37"/>
      <c r="J74" s="38"/>
      <c r="K74" s="38"/>
      <c r="L74" s="38"/>
      <c r="M74" s="38"/>
      <c r="N74" s="38"/>
      <c r="O74" s="308"/>
      <c r="P74" s="83"/>
      <c r="Q74" s="83"/>
      <c r="R74" s="83"/>
      <c r="S74" s="83"/>
      <c r="CC74" s="55"/>
      <c r="CD74" s="51"/>
      <c r="CE74" s="46"/>
      <c r="CF74" s="46"/>
      <c r="CG74" s="46"/>
      <c r="CH74" s="43"/>
      <c r="CI74" s="43"/>
      <c r="CJ74" s="43"/>
      <c r="CK74" s="43"/>
      <c r="CL74" s="43"/>
      <c r="CM74" s="43"/>
      <c r="CN74" s="43"/>
      <c r="CO74" s="29"/>
      <c r="CP74" s="197"/>
      <c r="CQ74" s="84"/>
      <c r="CR74" s="173" t="s">
        <v>92</v>
      </c>
      <c r="CS74" s="85"/>
      <c r="CT74" s="86"/>
    </row>
    <row r="75" spans="1:98" ht="18.75">
      <c r="A75" s="309"/>
      <c r="B75" s="309"/>
      <c r="C75" s="39"/>
      <c r="D75" s="83"/>
      <c r="E75" s="36"/>
      <c r="F75" s="37"/>
      <c r="G75" s="37"/>
      <c r="H75" s="37"/>
      <c r="I75" s="37"/>
      <c r="J75" s="38"/>
      <c r="K75" s="38"/>
      <c r="L75" s="38"/>
      <c r="M75" s="38"/>
      <c r="N75" s="38"/>
      <c r="O75" s="83"/>
      <c r="P75" s="83"/>
      <c r="Q75" s="83"/>
      <c r="R75" s="83"/>
      <c r="S75" s="83"/>
      <c r="CC75" s="55"/>
      <c r="CD75" s="464" t="s">
        <v>192</v>
      </c>
      <c r="CE75" s="464"/>
      <c r="CF75" s="464"/>
      <c r="CG75" s="464"/>
      <c r="CH75" s="464"/>
      <c r="CI75" s="43"/>
      <c r="CJ75" s="43"/>
      <c r="CK75" s="43"/>
      <c r="CL75" s="43"/>
      <c r="CM75" s="43"/>
      <c r="CN75" s="43"/>
      <c r="CO75" s="29"/>
      <c r="CP75" s="197"/>
      <c r="CQ75" s="84"/>
      <c r="CS75" s="85"/>
      <c r="CT75" s="86"/>
    </row>
    <row r="76" spans="1:98" ht="19.5" thickBot="1">
      <c r="A76" s="310"/>
      <c r="B76" s="310"/>
      <c r="C76" s="307"/>
      <c r="D76" s="83"/>
      <c r="E76" s="36"/>
      <c r="F76" s="37"/>
      <c r="G76" s="37"/>
      <c r="H76" s="37"/>
      <c r="I76" s="37"/>
      <c r="J76" s="38"/>
      <c r="K76" s="38"/>
      <c r="L76" s="38"/>
      <c r="M76" s="38"/>
      <c r="N76" s="38"/>
      <c r="O76" s="83"/>
      <c r="P76" s="83"/>
      <c r="Q76" s="83"/>
      <c r="R76" s="83"/>
      <c r="S76" s="83"/>
      <c r="CC76" s="55"/>
      <c r="CD76" s="464" t="s">
        <v>180</v>
      </c>
      <c r="CE76" s="464"/>
      <c r="CF76" s="464"/>
      <c r="CG76" s="464"/>
      <c r="CH76" s="464"/>
      <c r="CI76" s="43"/>
      <c r="CJ76" s="43"/>
      <c r="CK76" s="43"/>
      <c r="CL76" s="43"/>
      <c r="CM76" s="43"/>
      <c r="CN76" s="43"/>
      <c r="CO76" s="29"/>
      <c r="CP76" s="197"/>
      <c r="CQ76" s="84"/>
      <c r="CS76" s="85"/>
      <c r="CT76" s="86"/>
    </row>
    <row r="77" spans="1:98" ht="19.5" thickBot="1">
      <c r="A77" s="309"/>
      <c r="B77" s="309"/>
      <c r="C77" s="311"/>
      <c r="D77" s="83"/>
      <c r="E77" s="36"/>
      <c r="F77" s="37"/>
      <c r="G77" s="37"/>
      <c r="H77" s="37"/>
      <c r="I77" s="37"/>
      <c r="J77" s="38"/>
      <c r="K77" s="38"/>
      <c r="L77" s="38"/>
      <c r="M77" s="38"/>
      <c r="N77" s="38"/>
      <c r="O77" s="83"/>
      <c r="P77" s="83"/>
      <c r="Q77" s="83"/>
      <c r="R77" s="83"/>
      <c r="S77" s="83"/>
      <c r="CC77" s="55"/>
      <c r="CD77" s="312"/>
      <c r="CE77" s="191"/>
      <c r="CF77" s="191"/>
      <c r="CG77" s="191"/>
      <c r="CH77" s="313"/>
      <c r="CI77" s="43"/>
      <c r="CJ77" s="43"/>
      <c r="CK77" s="43"/>
      <c r="CL77" s="43"/>
      <c r="CM77" s="43"/>
      <c r="CN77" s="43"/>
      <c r="CO77" s="29"/>
      <c r="CP77" s="197"/>
      <c r="CQ77" s="84"/>
      <c r="CS77" s="85"/>
      <c r="CT77" s="86"/>
    </row>
    <row r="78" spans="1:98" ht="18.75" customHeight="1">
      <c r="A78" s="309"/>
      <c r="B78" s="309"/>
      <c r="C78" s="311"/>
      <c r="D78" s="83"/>
      <c r="E78" s="36"/>
      <c r="F78" s="37"/>
      <c r="G78" s="37"/>
      <c r="H78" s="37"/>
      <c r="I78" s="37"/>
      <c r="J78" s="38"/>
      <c r="K78" s="38"/>
      <c r="L78" s="38"/>
      <c r="M78" s="38"/>
      <c r="N78" s="38"/>
      <c r="O78" s="83"/>
      <c r="P78" s="83"/>
      <c r="Q78" s="83"/>
      <c r="R78" s="83"/>
      <c r="S78" s="83"/>
      <c r="CC78" s="55"/>
      <c r="CD78" s="12" t="s">
        <v>51</v>
      </c>
      <c r="CE78" s="429" t="s">
        <v>10</v>
      </c>
      <c r="CF78" s="429" t="s">
        <v>93</v>
      </c>
      <c r="CG78" s="429" t="s">
        <v>94</v>
      </c>
      <c r="CH78" s="429" t="s">
        <v>95</v>
      </c>
      <c r="CI78" s="463"/>
      <c r="CJ78" s="43"/>
      <c r="CK78" s="43"/>
      <c r="CL78" s="43"/>
      <c r="CM78" s="43"/>
      <c r="CN78" s="43"/>
      <c r="CO78" s="29"/>
      <c r="CP78" s="197"/>
      <c r="CQ78" s="84"/>
      <c r="CS78" s="85"/>
      <c r="CT78" s="86"/>
    </row>
    <row r="79" spans="1:98" ht="19.5" thickBot="1">
      <c r="A79" s="309"/>
      <c r="B79" s="309"/>
      <c r="C79" s="311"/>
      <c r="D79" s="83"/>
      <c r="E79" s="36"/>
      <c r="F79" s="37"/>
      <c r="G79" s="37"/>
      <c r="H79" s="37"/>
      <c r="I79" s="37"/>
      <c r="J79" s="38"/>
      <c r="K79" s="38"/>
      <c r="L79" s="38"/>
      <c r="M79" s="38"/>
      <c r="N79" s="38"/>
      <c r="O79" s="83"/>
      <c r="P79" s="83"/>
      <c r="Q79" s="83"/>
      <c r="R79" s="83"/>
      <c r="S79" s="83"/>
      <c r="CC79" s="55"/>
      <c r="CD79" s="3" t="s">
        <v>39</v>
      </c>
      <c r="CE79" s="430"/>
      <c r="CF79" s="430"/>
      <c r="CG79" s="430"/>
      <c r="CH79" s="430"/>
      <c r="CI79" s="463"/>
      <c r="CJ79" s="43"/>
      <c r="CK79" s="43"/>
      <c r="CL79" s="43"/>
      <c r="CM79" s="43"/>
      <c r="CN79" s="43"/>
      <c r="CO79" s="29"/>
      <c r="CP79" s="197"/>
      <c r="CQ79" s="84"/>
      <c r="CS79" s="85"/>
      <c r="CT79" s="86"/>
    </row>
    <row r="80" spans="1:98" ht="19.5" thickBot="1">
      <c r="A80" s="309"/>
      <c r="B80" s="309"/>
      <c r="C80" s="311"/>
      <c r="D80" s="83"/>
      <c r="E80" s="36"/>
      <c r="F80" s="37"/>
      <c r="G80" s="37"/>
      <c r="H80" s="37"/>
      <c r="I80" s="37"/>
      <c r="J80" s="38"/>
      <c r="K80" s="38"/>
      <c r="L80" s="38"/>
      <c r="M80" s="38"/>
      <c r="N80" s="38"/>
      <c r="O80" s="83"/>
      <c r="P80" s="83"/>
      <c r="Q80" s="83"/>
      <c r="R80" s="83"/>
      <c r="S80" s="83"/>
      <c r="CC80" s="55"/>
      <c r="CD80" s="4">
        <v>1</v>
      </c>
      <c r="CE80" s="13">
        <v>2</v>
      </c>
      <c r="CF80" s="13">
        <v>3</v>
      </c>
      <c r="CG80" s="13">
        <v>4</v>
      </c>
      <c r="CH80" s="13">
        <v>5</v>
      </c>
      <c r="CI80" s="70"/>
      <c r="CJ80" s="43"/>
      <c r="CK80" s="43"/>
      <c r="CL80" s="43"/>
      <c r="CM80" s="43"/>
      <c r="CN80" s="43"/>
      <c r="CO80" s="29"/>
      <c r="CP80" s="197"/>
      <c r="CQ80" s="84"/>
      <c r="CS80" s="85"/>
      <c r="CT80" s="86"/>
    </row>
    <row r="81" spans="1:98" ht="18.75">
      <c r="A81" s="309"/>
      <c r="B81" s="309"/>
      <c r="C81" s="311"/>
      <c r="D81" s="83"/>
      <c r="E81" s="36"/>
      <c r="F81" s="37"/>
      <c r="G81" s="37"/>
      <c r="H81" s="37"/>
      <c r="I81" s="37"/>
      <c r="J81" s="38"/>
      <c r="K81" s="38"/>
      <c r="L81" s="38"/>
      <c r="M81" s="38"/>
      <c r="N81" s="38"/>
      <c r="O81" s="83"/>
      <c r="P81" s="83"/>
      <c r="Q81" s="83"/>
      <c r="R81" s="83"/>
      <c r="S81" s="83"/>
      <c r="CC81" s="55"/>
      <c r="CD81" s="6">
        <v>1</v>
      </c>
      <c r="CE81" s="314"/>
      <c r="CF81" s="67"/>
      <c r="CG81" s="67"/>
      <c r="CH81" s="315">
        <f>$R$37</f>
        <v>0</v>
      </c>
      <c r="CI81" s="70"/>
      <c r="CJ81" s="43"/>
      <c r="CK81" s="43"/>
      <c r="CL81" s="43"/>
      <c r="CM81" s="43"/>
      <c r="CN81" s="43"/>
      <c r="CO81" s="29"/>
      <c r="CP81" s="197"/>
      <c r="CQ81" s="84"/>
      <c r="CR81" s="85" t="s">
        <v>9</v>
      </c>
      <c r="CS81" s="85">
        <f>$AR$22</f>
        <v>0</v>
      </c>
      <c r="CT81" s="86">
        <f>CS81-CH81-CH83</f>
        <v>0</v>
      </c>
    </row>
    <row r="82" spans="1:98" ht="18.75">
      <c r="A82" s="309"/>
      <c r="B82" s="309"/>
      <c r="C82" s="311"/>
      <c r="D82" s="83"/>
      <c r="E82" s="36"/>
      <c r="F82" s="37"/>
      <c r="G82" s="37"/>
      <c r="H82" s="37"/>
      <c r="I82" s="37"/>
      <c r="J82" s="38"/>
      <c r="K82" s="38"/>
      <c r="L82" s="38"/>
      <c r="M82" s="38"/>
      <c r="N82" s="38"/>
      <c r="O82" s="83"/>
      <c r="P82" s="83"/>
      <c r="Q82" s="83"/>
      <c r="R82" s="83"/>
      <c r="S82" s="83"/>
      <c r="CC82" s="55"/>
      <c r="CD82" s="316">
        <v>2</v>
      </c>
      <c r="CE82" s="317"/>
      <c r="CF82" s="318"/>
      <c r="CG82" s="318"/>
      <c r="CH82" s="319"/>
      <c r="CI82" s="70"/>
      <c r="CJ82" s="43"/>
      <c r="CK82" s="43"/>
      <c r="CL82" s="43"/>
      <c r="CM82" s="43"/>
      <c r="CN82" s="43"/>
      <c r="CO82" s="29"/>
      <c r="CP82" s="197"/>
      <c r="CQ82" s="84"/>
      <c r="CR82" s="85" t="s">
        <v>8</v>
      </c>
      <c r="CS82" s="85"/>
      <c r="CT82" s="86"/>
    </row>
    <row r="83" spans="1:98" ht="19.5" thickBot="1">
      <c r="A83" s="309"/>
      <c r="B83" s="309"/>
      <c r="C83" s="311"/>
      <c r="D83" s="83"/>
      <c r="E83" s="36"/>
      <c r="F83" s="37"/>
      <c r="G83" s="37"/>
      <c r="H83" s="37"/>
      <c r="I83" s="37"/>
      <c r="J83" s="38"/>
      <c r="K83" s="38"/>
      <c r="L83" s="38"/>
      <c r="M83" s="38"/>
      <c r="N83" s="38"/>
      <c r="O83" s="83"/>
      <c r="P83" s="83"/>
      <c r="Q83" s="83"/>
      <c r="R83" s="83"/>
      <c r="S83" s="83"/>
      <c r="CC83" s="55"/>
      <c r="CD83" s="8">
        <v>3</v>
      </c>
      <c r="CE83" s="320"/>
      <c r="CF83" s="68"/>
      <c r="CG83" s="68"/>
      <c r="CH83" s="321">
        <f>$S$37</f>
        <v>0</v>
      </c>
      <c r="CI83" s="70"/>
      <c r="CJ83" s="43"/>
      <c r="CK83" s="43"/>
      <c r="CL83" s="43"/>
      <c r="CM83" s="43"/>
      <c r="CN83" s="43"/>
      <c r="CO83" s="29"/>
      <c r="CP83" s="197"/>
      <c r="CQ83" s="84"/>
      <c r="CS83" s="85"/>
      <c r="CT83" s="86"/>
    </row>
    <row r="84" spans="1:98" ht="19.5" thickBot="1">
      <c r="A84" s="309"/>
      <c r="B84" s="309"/>
      <c r="C84" s="311"/>
      <c r="D84" s="83"/>
      <c r="E84" s="36"/>
      <c r="F84" s="37"/>
      <c r="G84" s="37"/>
      <c r="H84" s="37"/>
      <c r="I84" s="37"/>
      <c r="J84" s="38"/>
      <c r="K84" s="38"/>
      <c r="L84" s="38"/>
      <c r="M84" s="38"/>
      <c r="N84" s="38"/>
      <c r="O84" s="83"/>
      <c r="P84" s="83"/>
      <c r="Q84" s="83"/>
      <c r="R84" s="83"/>
      <c r="S84" s="83"/>
      <c r="CC84" s="55"/>
      <c r="CD84" s="445" t="s">
        <v>48</v>
      </c>
      <c r="CE84" s="446"/>
      <c r="CF84" s="69" t="s">
        <v>56</v>
      </c>
      <c r="CG84" s="69" t="s">
        <v>56</v>
      </c>
      <c r="CH84" s="322">
        <f>SUM(CH81:CH83)</f>
        <v>0</v>
      </c>
      <c r="CI84" s="70"/>
      <c r="CJ84" s="43"/>
      <c r="CK84" s="43"/>
      <c r="CL84" s="43"/>
      <c r="CM84" s="43"/>
      <c r="CN84" s="43"/>
      <c r="CO84" s="29"/>
      <c r="CP84" s="197"/>
      <c r="CQ84" s="84"/>
      <c r="CS84" s="85"/>
      <c r="CT84" s="86"/>
    </row>
    <row r="85" spans="1:98" ht="18.75" customHeight="1">
      <c r="A85" s="309"/>
      <c r="B85" s="309"/>
      <c r="C85" s="311"/>
      <c r="D85" s="83"/>
      <c r="E85" s="36"/>
      <c r="F85" s="37"/>
      <c r="G85" s="37"/>
      <c r="H85" s="37"/>
      <c r="I85" s="37"/>
      <c r="J85" s="38"/>
      <c r="K85" s="38"/>
      <c r="L85" s="38"/>
      <c r="M85" s="38"/>
      <c r="N85" s="38"/>
      <c r="O85" s="83"/>
      <c r="P85" s="83"/>
      <c r="Q85" s="83"/>
      <c r="R85" s="83"/>
      <c r="S85" s="83"/>
      <c r="CC85" s="55"/>
      <c r="CD85" s="70"/>
      <c r="CE85" s="70"/>
      <c r="CF85" s="70"/>
      <c r="CG85" s="70"/>
      <c r="CH85" s="323"/>
      <c r="CI85" s="70"/>
      <c r="CJ85" s="43"/>
      <c r="CK85" s="43"/>
      <c r="CL85" s="43"/>
      <c r="CM85" s="43"/>
      <c r="CN85" s="43"/>
      <c r="CO85" s="29"/>
      <c r="CP85" s="197"/>
      <c r="CQ85" s="84"/>
      <c r="CS85" s="85"/>
      <c r="CT85" s="86"/>
    </row>
    <row r="86" spans="1:98" ht="18.75">
      <c r="A86" s="309"/>
      <c r="B86" s="309"/>
      <c r="C86" s="311"/>
      <c r="D86" s="83"/>
      <c r="E86" s="36"/>
      <c r="F86" s="37"/>
      <c r="G86" s="37"/>
      <c r="H86" s="37"/>
      <c r="I86" s="37"/>
      <c r="J86" s="38"/>
      <c r="K86" s="38"/>
      <c r="L86" s="38"/>
      <c r="M86" s="38"/>
      <c r="N86" s="38"/>
      <c r="O86" s="83"/>
      <c r="P86" s="83"/>
      <c r="Q86" s="83"/>
      <c r="R86" s="83"/>
      <c r="S86" s="83"/>
      <c r="CC86" s="55"/>
      <c r="CD86" s="468" t="s">
        <v>193</v>
      </c>
      <c r="CE86" s="469"/>
      <c r="CF86" s="469"/>
      <c r="CG86" s="469"/>
      <c r="CH86" s="470"/>
      <c r="CI86" s="70"/>
      <c r="CJ86" s="43"/>
      <c r="CK86" s="43"/>
      <c r="CL86" s="43"/>
      <c r="CM86" s="43"/>
      <c r="CN86" s="43"/>
      <c r="CO86" s="29"/>
      <c r="CP86" s="197"/>
      <c r="CQ86" s="84"/>
      <c r="CS86" s="85"/>
      <c r="CT86" s="86"/>
    </row>
    <row r="87" spans="1:98" ht="18.75">
      <c r="A87" s="309"/>
      <c r="B87" s="309"/>
      <c r="C87" s="311"/>
      <c r="D87" s="83"/>
      <c r="E87" s="36"/>
      <c r="F87" s="37"/>
      <c r="G87" s="37"/>
      <c r="H87" s="37"/>
      <c r="I87" s="37"/>
      <c r="J87" s="38"/>
      <c r="K87" s="38"/>
      <c r="L87" s="38"/>
      <c r="M87" s="38"/>
      <c r="N87" s="38"/>
      <c r="O87" s="83"/>
      <c r="P87" s="83"/>
      <c r="Q87" s="83"/>
      <c r="R87" s="83"/>
      <c r="S87" s="83"/>
      <c r="CC87" s="55"/>
      <c r="CD87" s="70"/>
      <c r="CE87" s="70"/>
      <c r="CF87" s="70"/>
      <c r="CG87" s="70"/>
      <c r="CH87" s="70"/>
      <c r="CI87" s="70"/>
      <c r="CJ87" s="43"/>
      <c r="CK87" s="43"/>
      <c r="CL87" s="43"/>
      <c r="CM87" s="43"/>
      <c r="CN87" s="43"/>
      <c r="CO87" s="29"/>
      <c r="CP87" s="197"/>
      <c r="CQ87" s="84"/>
      <c r="CS87" s="85"/>
      <c r="CT87" s="86"/>
    </row>
    <row r="88" spans="1:98" ht="18.75">
      <c r="A88" s="309"/>
      <c r="B88" s="309"/>
      <c r="C88" s="311"/>
      <c r="D88" s="83"/>
      <c r="E88" s="36"/>
      <c r="F88" s="37"/>
      <c r="G88" s="37"/>
      <c r="H88" s="37"/>
      <c r="I88" s="37"/>
      <c r="J88" s="38"/>
      <c r="K88" s="38"/>
      <c r="L88" s="38"/>
      <c r="M88" s="38"/>
      <c r="N88" s="38"/>
      <c r="O88" s="83"/>
      <c r="P88" s="83"/>
      <c r="Q88" s="83"/>
      <c r="R88" s="83"/>
      <c r="S88" s="83"/>
      <c r="CC88" s="55"/>
      <c r="CD88" s="48" t="s">
        <v>96</v>
      </c>
      <c r="CE88" s="46"/>
      <c r="CF88" s="46"/>
      <c r="CG88" s="46"/>
      <c r="CH88" s="43"/>
      <c r="CI88" s="43"/>
      <c r="CJ88" s="43"/>
      <c r="CK88" s="43"/>
      <c r="CL88" s="43"/>
      <c r="CM88" s="43"/>
      <c r="CN88" s="43"/>
      <c r="CO88" s="29"/>
      <c r="CP88" s="197"/>
      <c r="CQ88" s="84"/>
      <c r="CS88" s="85"/>
      <c r="CT88" s="86"/>
    </row>
    <row r="89" spans="1:98" ht="18.75">
      <c r="A89" s="309"/>
      <c r="B89" s="309"/>
      <c r="C89" s="311"/>
      <c r="D89" s="83"/>
      <c r="E89" s="36"/>
      <c r="F89" s="37"/>
      <c r="G89" s="37"/>
      <c r="H89" s="37"/>
      <c r="I89" s="37"/>
      <c r="J89" s="38"/>
      <c r="K89" s="38"/>
      <c r="L89" s="38"/>
      <c r="M89" s="38"/>
      <c r="N89" s="38"/>
      <c r="O89" s="83"/>
      <c r="P89" s="83"/>
      <c r="Q89" s="83"/>
      <c r="R89" s="83"/>
      <c r="S89" s="83"/>
      <c r="CC89" s="55"/>
      <c r="CD89" s="48" t="s">
        <v>97</v>
      </c>
      <c r="CE89" s="46"/>
      <c r="CF89" s="46"/>
      <c r="CG89" s="46"/>
      <c r="CH89" s="43"/>
      <c r="CI89" s="43"/>
      <c r="CJ89" s="43"/>
      <c r="CK89" s="43"/>
      <c r="CL89" s="43"/>
      <c r="CM89" s="43"/>
      <c r="CN89" s="43"/>
      <c r="CO89" s="29"/>
      <c r="CP89" s="197"/>
      <c r="CQ89" s="84"/>
      <c r="CS89" s="85"/>
      <c r="CT89" s="86"/>
    </row>
    <row r="90" spans="1:98" ht="19.5" thickBot="1">
      <c r="A90" s="309"/>
      <c r="B90" s="309"/>
      <c r="C90" s="311"/>
      <c r="D90" s="83"/>
      <c r="E90" s="36"/>
      <c r="F90" s="37"/>
      <c r="G90" s="37"/>
      <c r="H90" s="37"/>
      <c r="I90" s="37"/>
      <c r="J90" s="38"/>
      <c r="K90" s="38"/>
      <c r="L90" s="38"/>
      <c r="M90" s="38"/>
      <c r="N90" s="38"/>
      <c r="O90" s="83"/>
      <c r="P90" s="83"/>
      <c r="Q90" s="83"/>
      <c r="R90" s="83"/>
      <c r="S90" s="83"/>
      <c r="CC90" s="55"/>
      <c r="CD90" s="51"/>
      <c r="CE90" s="46"/>
      <c r="CF90" s="46"/>
      <c r="CG90" s="46"/>
      <c r="CH90" s="43"/>
      <c r="CI90" s="43"/>
      <c r="CJ90" s="43"/>
      <c r="CK90" s="43"/>
      <c r="CL90" s="43"/>
      <c r="CM90" s="43"/>
      <c r="CN90" s="43"/>
      <c r="CO90" s="29"/>
      <c r="CP90" s="197"/>
      <c r="CQ90" s="84"/>
      <c r="CS90" s="85"/>
      <c r="CT90" s="86"/>
    </row>
    <row r="91" spans="1:98" ht="19.5" thickBot="1">
      <c r="A91" s="309"/>
      <c r="B91" s="309"/>
      <c r="C91" s="311"/>
      <c r="D91" s="83"/>
      <c r="E91" s="36"/>
      <c r="F91" s="37"/>
      <c r="G91" s="37"/>
      <c r="H91" s="37"/>
      <c r="I91" s="37"/>
      <c r="J91" s="38"/>
      <c r="K91" s="38"/>
      <c r="L91" s="38"/>
      <c r="M91" s="38"/>
      <c r="N91" s="38"/>
      <c r="O91" s="83"/>
      <c r="P91" s="83"/>
      <c r="Q91" s="83"/>
      <c r="R91" s="83"/>
      <c r="S91" s="83"/>
      <c r="CC91" s="55"/>
      <c r="CD91" s="464" t="s">
        <v>194</v>
      </c>
      <c r="CE91" s="464"/>
      <c r="CF91" s="464"/>
      <c r="CG91" s="464"/>
      <c r="CH91" s="464"/>
      <c r="CI91" s="43"/>
      <c r="CJ91" s="43"/>
      <c r="CK91" s="43"/>
      <c r="CL91" s="43"/>
      <c r="CM91" s="43"/>
      <c r="CN91" s="43"/>
      <c r="CO91" s="29"/>
      <c r="CP91" s="197"/>
      <c r="CQ91" s="84"/>
      <c r="CR91" s="173" t="s">
        <v>195</v>
      </c>
      <c r="CS91" s="324">
        <v>851</v>
      </c>
      <c r="CT91" s="86"/>
    </row>
    <row r="92" spans="1:98" ht="18.75">
      <c r="A92" s="309"/>
      <c r="B92" s="309"/>
      <c r="C92" s="311"/>
      <c r="D92" s="83"/>
      <c r="E92" s="36"/>
      <c r="F92" s="37"/>
      <c r="G92" s="37"/>
      <c r="H92" s="37"/>
      <c r="I92" s="37"/>
      <c r="J92" s="38"/>
      <c r="K92" s="38"/>
      <c r="L92" s="38"/>
      <c r="M92" s="38"/>
      <c r="N92" s="38"/>
      <c r="O92" s="83"/>
      <c r="P92" s="83"/>
      <c r="Q92" s="83"/>
      <c r="R92" s="83"/>
      <c r="S92" s="83"/>
      <c r="CC92" s="55"/>
      <c r="CD92" s="464" t="s">
        <v>180</v>
      </c>
      <c r="CE92" s="464"/>
      <c r="CF92" s="464"/>
      <c r="CG92" s="464"/>
      <c r="CH92" s="464"/>
      <c r="CI92" s="43"/>
      <c r="CJ92" s="43"/>
      <c r="CK92" s="43"/>
      <c r="CL92" s="43"/>
      <c r="CM92" s="43"/>
      <c r="CN92" s="43"/>
      <c r="CO92" s="29"/>
      <c r="CP92" s="197"/>
      <c r="CQ92" s="84"/>
      <c r="CS92" s="85"/>
      <c r="CT92" s="86"/>
    </row>
    <row r="93" spans="1:98" ht="19.5" customHeight="1" thickBot="1">
      <c r="A93" s="309"/>
      <c r="B93" s="309"/>
      <c r="C93" s="311"/>
      <c r="D93" s="83"/>
      <c r="E93" s="36"/>
      <c r="F93" s="37"/>
      <c r="G93" s="37"/>
      <c r="H93" s="37"/>
      <c r="I93" s="37"/>
      <c r="J93" s="38"/>
      <c r="K93" s="38"/>
      <c r="L93" s="38"/>
      <c r="M93" s="38"/>
      <c r="N93" s="38"/>
      <c r="O93" s="83"/>
      <c r="P93" s="83"/>
      <c r="Q93" s="83"/>
      <c r="R93" s="83"/>
      <c r="S93" s="83"/>
      <c r="CC93" s="55"/>
      <c r="CD93" s="51"/>
      <c r="CE93" s="46"/>
      <c r="CF93" s="46"/>
      <c r="CG93" s="46"/>
      <c r="CH93" s="43"/>
      <c r="CI93" s="43"/>
      <c r="CJ93" s="43"/>
      <c r="CK93" s="43"/>
      <c r="CL93" s="43"/>
      <c r="CM93" s="43"/>
      <c r="CN93" s="43"/>
      <c r="CO93" s="29"/>
      <c r="CP93" s="197"/>
      <c r="CQ93" s="84"/>
      <c r="CS93" s="85"/>
      <c r="CT93" s="86"/>
    </row>
    <row r="94" spans="1:99" ht="19.5" thickBot="1">
      <c r="A94" s="35"/>
      <c r="B94" s="35"/>
      <c r="C94" s="34"/>
      <c r="D94" s="83"/>
      <c r="E94" s="36"/>
      <c r="F94" s="37"/>
      <c r="G94" s="37"/>
      <c r="H94" s="37"/>
      <c r="I94" s="37"/>
      <c r="J94" s="38"/>
      <c r="K94" s="38"/>
      <c r="L94" s="38"/>
      <c r="M94" s="38"/>
      <c r="N94" s="38"/>
      <c r="O94" s="83"/>
      <c r="P94" s="83"/>
      <c r="Q94" s="83"/>
      <c r="R94" s="83"/>
      <c r="S94" s="83"/>
      <c r="CC94" s="55"/>
      <c r="CD94" s="12" t="s">
        <v>51</v>
      </c>
      <c r="CE94" s="429" t="s">
        <v>26</v>
      </c>
      <c r="CF94" s="429" t="s">
        <v>98</v>
      </c>
      <c r="CG94" s="429" t="s">
        <v>99</v>
      </c>
      <c r="CH94" s="429" t="s">
        <v>196</v>
      </c>
      <c r="CI94" s="431" t="s">
        <v>43</v>
      </c>
      <c r="CJ94" s="432"/>
      <c r="CK94" s="433"/>
      <c r="CL94" s="43"/>
      <c r="CM94" s="43"/>
      <c r="CN94" s="43"/>
      <c r="CO94" s="29"/>
      <c r="CP94" s="197"/>
      <c r="CQ94" s="84"/>
      <c r="CR94" s="1" t="s">
        <v>8</v>
      </c>
      <c r="CS94" s="85">
        <f>N31</f>
        <v>445850.61</v>
      </c>
      <c r="CT94" s="86">
        <f>CS94-CI99</f>
        <v>0</v>
      </c>
      <c r="CU94" s="325" t="s">
        <v>203</v>
      </c>
    </row>
    <row r="95" spans="1:99" ht="38.25" thickBot="1">
      <c r="A95" s="306"/>
      <c r="B95" s="306"/>
      <c r="C95" s="39"/>
      <c r="D95" s="307"/>
      <c r="E95" s="36"/>
      <c r="F95" s="37"/>
      <c r="G95" s="37"/>
      <c r="H95" s="37"/>
      <c r="I95" s="37"/>
      <c r="J95" s="38"/>
      <c r="K95" s="38"/>
      <c r="L95" s="38"/>
      <c r="M95" s="38"/>
      <c r="N95" s="38"/>
      <c r="O95" s="308"/>
      <c r="P95" s="83"/>
      <c r="Q95" s="83"/>
      <c r="R95" s="83"/>
      <c r="S95" s="83"/>
      <c r="CC95" s="55"/>
      <c r="CD95" s="3" t="s">
        <v>39</v>
      </c>
      <c r="CE95" s="430"/>
      <c r="CF95" s="430"/>
      <c r="CG95" s="430"/>
      <c r="CH95" s="430"/>
      <c r="CI95" s="2" t="s">
        <v>46</v>
      </c>
      <c r="CJ95" s="2" t="s">
        <v>47</v>
      </c>
      <c r="CK95" s="2" t="s">
        <v>100</v>
      </c>
      <c r="CL95" s="43"/>
      <c r="CM95" s="43"/>
      <c r="CN95" s="43"/>
      <c r="CO95" s="29"/>
      <c r="CP95" s="197"/>
      <c r="CQ95" s="84"/>
      <c r="CR95" s="1" t="s">
        <v>5</v>
      </c>
      <c r="CS95" s="85">
        <f>D31</f>
        <v>4327.39</v>
      </c>
      <c r="CT95" s="86">
        <f>CS95-CJ99-CK99</f>
        <v>0</v>
      </c>
      <c r="CU95" s="326">
        <f>CH97-CI97-CJ97-CK97</f>
        <v>0</v>
      </c>
    </row>
    <row r="96" spans="1:99" ht="19.5" thickBot="1">
      <c r="A96" s="35"/>
      <c r="B96" s="35"/>
      <c r="C96" s="39"/>
      <c r="D96" s="307"/>
      <c r="E96" s="36"/>
      <c r="F96" s="37"/>
      <c r="G96" s="37"/>
      <c r="H96" s="37"/>
      <c r="I96" s="37"/>
      <c r="J96" s="38"/>
      <c r="K96" s="38"/>
      <c r="L96" s="38"/>
      <c r="M96" s="38"/>
      <c r="N96" s="38"/>
      <c r="O96" s="83"/>
      <c r="P96" s="83"/>
      <c r="Q96" s="83"/>
      <c r="R96" s="83"/>
      <c r="S96" s="83"/>
      <c r="CC96" s="55"/>
      <c r="CD96" s="4">
        <v>1</v>
      </c>
      <c r="CE96" s="13">
        <v>2</v>
      </c>
      <c r="CF96" s="13">
        <v>3</v>
      </c>
      <c r="CG96" s="13">
        <v>4</v>
      </c>
      <c r="CH96" s="12">
        <v>5</v>
      </c>
      <c r="CI96" s="180">
        <v>6</v>
      </c>
      <c r="CJ96" s="12">
        <v>7</v>
      </c>
      <c r="CK96" s="327">
        <v>8</v>
      </c>
      <c r="CL96" s="43"/>
      <c r="CM96" s="43"/>
      <c r="CN96" s="43"/>
      <c r="CO96" s="29"/>
      <c r="CP96" s="197"/>
      <c r="CQ96" s="84"/>
      <c r="CS96" s="85"/>
      <c r="CT96" s="86"/>
      <c r="CU96" s="326">
        <f>CH98-CI98-CJ98-CK98</f>
        <v>0</v>
      </c>
    </row>
    <row r="97" spans="1:99" ht="19.5" thickBot="1">
      <c r="A97" s="35"/>
      <c r="B97" s="35"/>
      <c r="C97" s="311"/>
      <c r="D97" s="328"/>
      <c r="E97" s="40"/>
      <c r="F97" s="41"/>
      <c r="G97" s="41"/>
      <c r="H97" s="41"/>
      <c r="I97" s="41"/>
      <c r="J97" s="42"/>
      <c r="K97" s="42"/>
      <c r="L97" s="42"/>
      <c r="M97" s="42"/>
      <c r="N97" s="42"/>
      <c r="O97" s="308"/>
      <c r="P97" s="83"/>
      <c r="Q97" s="83"/>
      <c r="R97" s="83"/>
      <c r="S97" s="83"/>
      <c r="CC97" s="55"/>
      <c r="CD97" s="6">
        <v>1</v>
      </c>
      <c r="CE97" s="329" t="s">
        <v>101</v>
      </c>
      <c r="CF97" s="15">
        <f>CH97/CG97*100</f>
        <v>1899409.09</v>
      </c>
      <c r="CG97" s="67">
        <v>2.2</v>
      </c>
      <c r="CH97" s="330">
        <f>CI97+CJ97+CK97</f>
        <v>41787</v>
      </c>
      <c r="CI97" s="331">
        <f>40644.8</f>
        <v>40644.8</v>
      </c>
      <c r="CJ97" s="15">
        <v>1142.2</v>
      </c>
      <c r="CK97" s="332"/>
      <c r="CL97" s="43"/>
      <c r="CM97" s="272"/>
      <c r="CN97" s="43"/>
      <c r="CO97" s="29"/>
      <c r="CP97" s="197"/>
      <c r="CQ97" s="84"/>
      <c r="CR97" s="85" t="s">
        <v>160</v>
      </c>
      <c r="CS97" s="85">
        <f>E31</f>
        <v>4327.39</v>
      </c>
      <c r="CT97" s="86">
        <f>CS97-CJ99</f>
        <v>0</v>
      </c>
      <c r="CU97" s="333">
        <f>CH99-CI99-CJ99-CK99</f>
        <v>0</v>
      </c>
    </row>
    <row r="98" spans="1:99" ht="19.5" thickBot="1">
      <c r="A98" s="35"/>
      <c r="B98" s="65"/>
      <c r="C98" s="311"/>
      <c r="D98" s="83"/>
      <c r="E98" s="36"/>
      <c r="F98" s="37"/>
      <c r="G98" s="37"/>
      <c r="H98" s="37"/>
      <c r="I98" s="37"/>
      <c r="J98" s="38"/>
      <c r="K98" s="38"/>
      <c r="L98" s="38"/>
      <c r="M98" s="38"/>
      <c r="N98" s="38"/>
      <c r="O98" s="83"/>
      <c r="P98" s="83"/>
      <c r="Q98" s="83"/>
      <c r="R98" s="83"/>
      <c r="S98" s="83"/>
      <c r="CC98" s="55"/>
      <c r="CD98" s="8">
        <v>2</v>
      </c>
      <c r="CE98" s="320" t="s">
        <v>156</v>
      </c>
      <c r="CF98" s="171">
        <f>CH98/CG98*100</f>
        <v>27226066.67</v>
      </c>
      <c r="CG98" s="68">
        <v>1.5</v>
      </c>
      <c r="CH98" s="334">
        <f>CI98+CJ98+CK98</f>
        <v>408391</v>
      </c>
      <c r="CI98" s="335">
        <v>405205.81</v>
      </c>
      <c r="CJ98" s="21">
        <v>3185.19</v>
      </c>
      <c r="CK98" s="336"/>
      <c r="CL98" s="43"/>
      <c r="CM98" s="272"/>
      <c r="CN98" s="43"/>
      <c r="CO98" s="29"/>
      <c r="CP98" s="197"/>
      <c r="CQ98" s="84"/>
      <c r="CR98" s="85" t="s">
        <v>161</v>
      </c>
      <c r="CS98" s="85">
        <f>I31</f>
        <v>0</v>
      </c>
      <c r="CT98" s="86">
        <f>CS98-CK99</f>
        <v>0</v>
      </c>
      <c r="CU98" s="104"/>
    </row>
    <row r="99" spans="1:98" ht="19.5" thickBot="1">
      <c r="A99" s="35"/>
      <c r="B99" s="65"/>
      <c r="C99" s="311"/>
      <c r="D99" s="83"/>
      <c r="E99" s="36"/>
      <c r="F99" s="37"/>
      <c r="G99" s="37"/>
      <c r="H99" s="37"/>
      <c r="I99" s="37"/>
      <c r="J99" s="38"/>
      <c r="K99" s="38"/>
      <c r="L99" s="38"/>
      <c r="M99" s="38"/>
      <c r="N99" s="38"/>
      <c r="O99" s="83"/>
      <c r="P99" s="83"/>
      <c r="Q99" s="83"/>
      <c r="R99" s="83"/>
      <c r="S99" s="83"/>
      <c r="CC99" s="55"/>
      <c r="CD99" s="445" t="s">
        <v>48</v>
      </c>
      <c r="CE99" s="446"/>
      <c r="CF99" s="2"/>
      <c r="CG99" s="69" t="s">
        <v>56</v>
      </c>
      <c r="CH99" s="93">
        <f>CH97+CH98</f>
        <v>450178</v>
      </c>
      <c r="CI99" s="337">
        <f>CI97+CI98</f>
        <v>445850.61</v>
      </c>
      <c r="CJ99" s="338">
        <f>CJ97+CJ98</f>
        <v>4327.39</v>
      </c>
      <c r="CK99" s="338">
        <f>CK97+CK98</f>
        <v>0</v>
      </c>
      <c r="CL99" s="43"/>
      <c r="CM99" s="43"/>
      <c r="CN99" s="43"/>
      <c r="CO99" s="29"/>
      <c r="CP99" s="197"/>
      <c r="CQ99" s="84"/>
      <c r="CS99" s="85"/>
      <c r="CT99" s="86"/>
    </row>
    <row r="100" spans="1:98" ht="18.75" customHeight="1">
      <c r="A100" s="35"/>
      <c r="B100" s="65"/>
      <c r="C100" s="311"/>
      <c r="D100" s="83"/>
      <c r="E100" s="36"/>
      <c r="F100" s="37"/>
      <c r="G100" s="37"/>
      <c r="H100" s="37"/>
      <c r="I100" s="37"/>
      <c r="J100" s="38"/>
      <c r="K100" s="38"/>
      <c r="L100" s="38"/>
      <c r="M100" s="38"/>
      <c r="N100" s="38"/>
      <c r="O100" s="83"/>
      <c r="P100" s="83"/>
      <c r="Q100" s="83"/>
      <c r="R100" s="83"/>
      <c r="S100" s="83"/>
      <c r="CC100" s="55"/>
      <c r="CD100" s="447"/>
      <c r="CE100" s="447"/>
      <c r="CF100" s="447"/>
      <c r="CG100" s="447"/>
      <c r="CH100" s="447"/>
      <c r="CI100" s="339"/>
      <c r="CJ100" s="339"/>
      <c r="CK100" s="339"/>
      <c r="CL100" s="43"/>
      <c r="CM100" s="272"/>
      <c r="CN100" s="43"/>
      <c r="CO100" s="29"/>
      <c r="CP100" s="197"/>
      <c r="CQ100" s="84"/>
      <c r="CS100" s="85"/>
      <c r="CT100" s="86"/>
    </row>
    <row r="101" spans="1:98" ht="18.75">
      <c r="A101" s="35"/>
      <c r="B101" s="65"/>
      <c r="C101" s="311"/>
      <c r="D101" s="83"/>
      <c r="E101" s="36"/>
      <c r="F101" s="37"/>
      <c r="G101" s="37"/>
      <c r="H101" s="37"/>
      <c r="I101" s="37"/>
      <c r="J101" s="38"/>
      <c r="K101" s="38"/>
      <c r="L101" s="38"/>
      <c r="M101" s="38"/>
      <c r="N101" s="38"/>
      <c r="O101" s="83"/>
      <c r="P101" s="83"/>
      <c r="Q101" s="83"/>
      <c r="R101" s="83"/>
      <c r="S101" s="83"/>
      <c r="CC101" s="55"/>
      <c r="CD101" s="435" t="s">
        <v>102</v>
      </c>
      <c r="CE101" s="435"/>
      <c r="CF101" s="435"/>
      <c r="CG101" s="435"/>
      <c r="CH101" s="435"/>
      <c r="CI101" s="435"/>
      <c r="CJ101" s="435"/>
      <c r="CK101" s="435"/>
      <c r="CL101" s="43"/>
      <c r="CM101" s="43"/>
      <c r="CN101" s="43"/>
      <c r="CO101" s="29"/>
      <c r="CP101" s="197"/>
      <c r="CQ101" s="84"/>
      <c r="CS101" s="85"/>
      <c r="CT101" s="86"/>
    </row>
    <row r="102" spans="1:98" ht="18.75">
      <c r="A102" s="35"/>
      <c r="B102" s="65"/>
      <c r="C102" s="311"/>
      <c r="D102" s="83"/>
      <c r="E102" s="36"/>
      <c r="F102" s="37"/>
      <c r="G102" s="37"/>
      <c r="H102" s="37"/>
      <c r="I102" s="37"/>
      <c r="J102" s="38"/>
      <c r="K102" s="38"/>
      <c r="L102" s="38"/>
      <c r="M102" s="38"/>
      <c r="N102" s="38"/>
      <c r="O102" s="83"/>
      <c r="P102" s="83"/>
      <c r="Q102" s="83"/>
      <c r="R102" s="83"/>
      <c r="S102" s="83"/>
      <c r="CC102" s="55"/>
      <c r="CD102" s="185"/>
      <c r="CE102" s="185"/>
      <c r="CF102" s="185"/>
      <c r="CG102" s="185"/>
      <c r="CH102" s="185"/>
      <c r="CI102" s="185"/>
      <c r="CJ102" s="185"/>
      <c r="CK102" s="185"/>
      <c r="CL102" s="43"/>
      <c r="CM102" s="43"/>
      <c r="CN102" s="43"/>
      <c r="CO102" s="29"/>
      <c r="CP102" s="197"/>
      <c r="CQ102" s="84"/>
      <c r="CS102" s="85"/>
      <c r="CT102" s="86"/>
    </row>
    <row r="103" spans="1:98" ht="18.75">
      <c r="A103" s="35"/>
      <c r="B103" s="65"/>
      <c r="C103" s="311"/>
      <c r="D103" s="83"/>
      <c r="E103" s="36"/>
      <c r="F103" s="37"/>
      <c r="G103" s="37"/>
      <c r="H103" s="37"/>
      <c r="I103" s="37"/>
      <c r="J103" s="38"/>
      <c r="K103" s="38"/>
      <c r="L103" s="38"/>
      <c r="M103" s="38"/>
      <c r="N103" s="38"/>
      <c r="O103" s="83"/>
      <c r="P103" s="83"/>
      <c r="Q103" s="83"/>
      <c r="R103" s="83"/>
      <c r="S103" s="83"/>
      <c r="CC103" s="55"/>
      <c r="CD103" s="48" t="s">
        <v>103</v>
      </c>
      <c r="CE103" s="46"/>
      <c r="CF103" s="46"/>
      <c r="CG103" s="46"/>
      <c r="CH103" s="43"/>
      <c r="CI103" s="43"/>
      <c r="CJ103" s="43"/>
      <c r="CK103" s="43"/>
      <c r="CL103" s="43"/>
      <c r="CM103" s="43"/>
      <c r="CN103" s="43"/>
      <c r="CO103" s="29"/>
      <c r="CP103" s="197"/>
      <c r="CQ103" s="84"/>
      <c r="CS103" s="85"/>
      <c r="CT103" s="86"/>
    </row>
    <row r="104" spans="1:98" ht="18.75">
      <c r="A104" s="35"/>
      <c r="B104" s="65"/>
      <c r="C104" s="311"/>
      <c r="D104" s="83"/>
      <c r="E104" s="36"/>
      <c r="F104" s="37"/>
      <c r="G104" s="37"/>
      <c r="H104" s="37"/>
      <c r="I104" s="37"/>
      <c r="J104" s="38"/>
      <c r="K104" s="38"/>
      <c r="L104" s="38"/>
      <c r="M104" s="38"/>
      <c r="N104" s="38"/>
      <c r="O104" s="83"/>
      <c r="P104" s="83"/>
      <c r="Q104" s="83"/>
      <c r="R104" s="83"/>
      <c r="S104" s="83"/>
      <c r="CC104" s="55"/>
      <c r="CD104" s="48"/>
      <c r="CE104" s="46"/>
      <c r="CF104" s="46"/>
      <c r="CG104" s="46"/>
      <c r="CH104" s="43"/>
      <c r="CI104" s="43"/>
      <c r="CJ104" s="43"/>
      <c r="CK104" s="43"/>
      <c r="CL104" s="43"/>
      <c r="CM104" s="43"/>
      <c r="CN104" s="43"/>
      <c r="CO104" s="29"/>
      <c r="CP104" s="197"/>
      <c r="CQ104" s="84"/>
      <c r="CS104" s="85"/>
      <c r="CT104" s="86"/>
    </row>
    <row r="105" spans="1:98" ht="19.5" thickBot="1">
      <c r="A105" s="35"/>
      <c r="B105" s="65"/>
      <c r="C105" s="311"/>
      <c r="D105" s="83"/>
      <c r="E105" s="36"/>
      <c r="F105" s="37"/>
      <c r="G105" s="37"/>
      <c r="H105" s="37"/>
      <c r="I105" s="37"/>
      <c r="J105" s="38"/>
      <c r="K105" s="38"/>
      <c r="L105" s="38"/>
      <c r="M105" s="38"/>
      <c r="N105" s="38"/>
      <c r="O105" s="83"/>
      <c r="P105" s="83"/>
      <c r="Q105" s="83"/>
      <c r="R105" s="83"/>
      <c r="S105" s="83"/>
      <c r="CC105" s="55"/>
      <c r="CD105" s="464" t="s">
        <v>104</v>
      </c>
      <c r="CE105" s="464"/>
      <c r="CF105" s="464"/>
      <c r="CG105" s="464"/>
      <c r="CH105" s="464"/>
      <c r="CI105" s="43"/>
      <c r="CJ105" s="43"/>
      <c r="CK105" s="43"/>
      <c r="CL105" s="43"/>
      <c r="CM105" s="43"/>
      <c r="CN105" s="43"/>
      <c r="CO105" s="29"/>
      <c r="CP105" s="197"/>
      <c r="CQ105" s="84"/>
      <c r="CS105" s="85"/>
      <c r="CT105" s="86"/>
    </row>
    <row r="106" spans="1:98" ht="19.5" thickBot="1">
      <c r="A106" s="35"/>
      <c r="B106" s="65"/>
      <c r="C106" s="311"/>
      <c r="D106" s="83"/>
      <c r="E106" s="36"/>
      <c r="F106" s="37"/>
      <c r="G106" s="37"/>
      <c r="H106" s="37"/>
      <c r="I106" s="37"/>
      <c r="J106" s="38"/>
      <c r="K106" s="38"/>
      <c r="L106" s="38"/>
      <c r="M106" s="38"/>
      <c r="N106" s="38"/>
      <c r="O106" s="83"/>
      <c r="P106" s="83"/>
      <c r="Q106" s="83"/>
      <c r="R106" s="83"/>
      <c r="S106" s="83"/>
      <c r="CC106" s="55"/>
      <c r="CD106" s="464" t="s">
        <v>180</v>
      </c>
      <c r="CE106" s="464"/>
      <c r="CF106" s="464"/>
      <c r="CG106" s="464"/>
      <c r="CH106" s="464"/>
      <c r="CI106" s="43"/>
      <c r="CJ106" s="43"/>
      <c r="CK106" s="43"/>
      <c r="CL106" s="43"/>
      <c r="CM106" s="43"/>
      <c r="CN106" s="43"/>
      <c r="CO106" s="29"/>
      <c r="CP106" s="197"/>
      <c r="CQ106" s="84"/>
      <c r="CR106" s="173"/>
      <c r="CS106" s="85"/>
      <c r="CT106" s="86"/>
    </row>
    <row r="107" spans="1:98" ht="18.75" customHeight="1" thickBot="1">
      <c r="A107" s="35"/>
      <c r="B107" s="65"/>
      <c r="C107" s="311"/>
      <c r="D107" s="83"/>
      <c r="E107" s="36"/>
      <c r="F107" s="37"/>
      <c r="G107" s="37"/>
      <c r="H107" s="37"/>
      <c r="I107" s="37"/>
      <c r="J107" s="38"/>
      <c r="K107" s="38"/>
      <c r="L107" s="38"/>
      <c r="M107" s="38"/>
      <c r="N107" s="38"/>
      <c r="O107" s="83"/>
      <c r="P107" s="83"/>
      <c r="Q107" s="83"/>
      <c r="R107" s="83"/>
      <c r="S107" s="83"/>
      <c r="CC107" s="55"/>
      <c r="CD107" s="51"/>
      <c r="CE107" s="46"/>
      <c r="CF107" s="46"/>
      <c r="CG107" s="46"/>
      <c r="CH107" s="43"/>
      <c r="CI107" s="43"/>
      <c r="CJ107" s="43"/>
      <c r="CK107" s="43"/>
      <c r="CL107" s="43"/>
      <c r="CM107" s="43"/>
      <c r="CN107" s="43"/>
      <c r="CO107" s="29"/>
      <c r="CP107" s="197"/>
      <c r="CQ107" s="84"/>
      <c r="CS107" s="85"/>
      <c r="CT107" s="86"/>
    </row>
    <row r="108" spans="1:98" ht="19.5" thickBot="1">
      <c r="A108" s="340"/>
      <c r="B108" s="65"/>
      <c r="C108" s="311"/>
      <c r="D108" s="83"/>
      <c r="E108" s="341"/>
      <c r="F108" s="37"/>
      <c r="G108" s="37"/>
      <c r="H108" s="37"/>
      <c r="I108" s="37"/>
      <c r="J108" s="38"/>
      <c r="K108" s="38"/>
      <c r="L108" s="38"/>
      <c r="M108" s="38"/>
      <c r="N108" s="38"/>
      <c r="O108" s="83"/>
      <c r="P108" s="83"/>
      <c r="Q108" s="83"/>
      <c r="R108" s="83"/>
      <c r="S108" s="83"/>
      <c r="CC108" s="55"/>
      <c r="CD108" s="12" t="s">
        <v>51</v>
      </c>
      <c r="CE108" s="429" t="s">
        <v>10</v>
      </c>
      <c r="CF108" s="429" t="s">
        <v>93</v>
      </c>
      <c r="CG108" s="429" t="s">
        <v>94</v>
      </c>
      <c r="CH108" s="429" t="s">
        <v>95</v>
      </c>
      <c r="CI108" s="442" t="s">
        <v>43</v>
      </c>
      <c r="CJ108" s="443"/>
      <c r="CK108" s="443"/>
      <c r="CL108" s="444"/>
      <c r="CM108" s="43"/>
      <c r="CN108" s="43"/>
      <c r="CO108" s="29"/>
      <c r="CP108" s="197"/>
      <c r="CQ108" s="84"/>
      <c r="CS108" s="85"/>
      <c r="CT108" s="86"/>
    </row>
    <row r="109" spans="1:98" ht="38.25" thickBot="1">
      <c r="A109" s="340"/>
      <c r="B109" s="340"/>
      <c r="C109" s="311"/>
      <c r="D109" s="83"/>
      <c r="E109" s="341"/>
      <c r="F109" s="37"/>
      <c r="G109" s="37"/>
      <c r="H109" s="37"/>
      <c r="I109" s="37"/>
      <c r="J109" s="38"/>
      <c r="K109" s="38"/>
      <c r="L109" s="38"/>
      <c r="M109" s="38"/>
      <c r="N109" s="38"/>
      <c r="O109" s="83"/>
      <c r="P109" s="83"/>
      <c r="Q109" s="83"/>
      <c r="R109" s="83"/>
      <c r="S109" s="83"/>
      <c r="CC109" s="55"/>
      <c r="CD109" s="3" t="s">
        <v>39</v>
      </c>
      <c r="CE109" s="430"/>
      <c r="CF109" s="430"/>
      <c r="CG109" s="430"/>
      <c r="CH109" s="430"/>
      <c r="CI109" s="183" t="s">
        <v>46</v>
      </c>
      <c r="CJ109" s="54" t="s">
        <v>47</v>
      </c>
      <c r="CK109" s="184" t="s">
        <v>127</v>
      </c>
      <c r="CL109" s="54" t="s">
        <v>220</v>
      </c>
      <c r="CM109" s="43"/>
      <c r="CN109" s="43"/>
      <c r="CO109" s="29"/>
      <c r="CP109" s="197"/>
      <c r="CQ109" s="84"/>
      <c r="CS109" s="85"/>
      <c r="CT109" s="86"/>
    </row>
    <row r="110" spans="1:98" ht="19.5" thickBot="1">
      <c r="A110" s="342"/>
      <c r="B110" s="342"/>
      <c r="C110" s="311"/>
      <c r="D110" s="343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5"/>
      <c r="P110" s="83"/>
      <c r="Q110" s="83"/>
      <c r="R110" s="83"/>
      <c r="S110" s="83"/>
      <c r="CC110" s="55"/>
      <c r="CD110" s="4">
        <v>1</v>
      </c>
      <c r="CE110" s="13">
        <v>2</v>
      </c>
      <c r="CF110" s="13">
        <v>3</v>
      </c>
      <c r="CG110" s="13">
        <v>4</v>
      </c>
      <c r="CH110" s="13">
        <v>5</v>
      </c>
      <c r="CI110" s="5">
        <v>7</v>
      </c>
      <c r="CJ110" s="187">
        <v>8</v>
      </c>
      <c r="CK110" s="187">
        <v>9</v>
      </c>
      <c r="CL110" s="187">
        <v>10</v>
      </c>
      <c r="CM110" s="43"/>
      <c r="CN110" s="43"/>
      <c r="CO110" s="29"/>
      <c r="CP110" s="197"/>
      <c r="CQ110" s="84"/>
      <c r="CS110" s="85"/>
      <c r="CT110" s="86"/>
    </row>
    <row r="111" spans="1:98" ht="18.75">
      <c r="A111" s="342"/>
      <c r="B111" s="342"/>
      <c r="C111" s="311"/>
      <c r="D111" s="343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83"/>
      <c r="P111" s="83"/>
      <c r="Q111" s="83"/>
      <c r="R111" s="83"/>
      <c r="S111" s="83"/>
      <c r="CC111" s="55"/>
      <c r="CD111" s="6"/>
      <c r="CE111" s="67"/>
      <c r="CF111" s="67"/>
      <c r="CG111" s="67"/>
      <c r="CH111" s="172"/>
      <c r="CI111" s="346"/>
      <c r="CJ111" s="146"/>
      <c r="CK111" s="146"/>
      <c r="CL111" s="347"/>
      <c r="CM111" s="43"/>
      <c r="CN111" s="43"/>
      <c r="CO111" s="29"/>
      <c r="CP111" s="197"/>
      <c r="CQ111" s="84"/>
      <c r="CS111" s="85"/>
      <c r="CT111" s="86"/>
    </row>
    <row r="112" spans="1:98" ht="19.5" thickBot="1">
      <c r="A112" s="342"/>
      <c r="B112" s="342"/>
      <c r="C112" s="311"/>
      <c r="D112" s="343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83"/>
      <c r="P112" s="83"/>
      <c r="Q112" s="83"/>
      <c r="R112" s="83"/>
      <c r="S112" s="83"/>
      <c r="CC112" s="55"/>
      <c r="CD112" s="8"/>
      <c r="CE112" s="68"/>
      <c r="CF112" s="68"/>
      <c r="CG112" s="68"/>
      <c r="CH112" s="165"/>
      <c r="CI112" s="280"/>
      <c r="CJ112" s="281"/>
      <c r="CK112" s="281"/>
      <c r="CL112" s="282"/>
      <c r="CM112" s="43"/>
      <c r="CN112" s="43"/>
      <c r="CO112" s="29"/>
      <c r="CP112" s="197"/>
      <c r="CQ112" s="84"/>
      <c r="CS112" s="85"/>
      <c r="CT112" s="86"/>
    </row>
    <row r="113" spans="1:98" ht="19.5" thickBot="1">
      <c r="A113" s="342"/>
      <c r="B113" s="342"/>
      <c r="C113" s="311"/>
      <c r="D113" s="343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83"/>
      <c r="P113" s="83"/>
      <c r="Q113" s="83"/>
      <c r="R113" s="83"/>
      <c r="S113" s="83"/>
      <c r="CC113" s="55"/>
      <c r="CD113" s="436" t="s">
        <v>48</v>
      </c>
      <c r="CE113" s="437"/>
      <c r="CF113" s="69" t="s">
        <v>56</v>
      </c>
      <c r="CG113" s="69" t="s">
        <v>56</v>
      </c>
      <c r="CH113" s="69"/>
      <c r="CI113" s="348">
        <f>SUM(CI111:CI112)</f>
        <v>0</v>
      </c>
      <c r="CJ113" s="348">
        <f>SUM(CJ111:CJ112)</f>
        <v>0</v>
      </c>
      <c r="CK113" s="348">
        <f>SUM(CK111:CK112)</f>
        <v>0</v>
      </c>
      <c r="CL113" s="348">
        <f>SUM(CL111:CL112)</f>
        <v>0</v>
      </c>
      <c r="CM113" s="43"/>
      <c r="CN113" s="43"/>
      <c r="CO113" s="29"/>
      <c r="CP113" s="197"/>
      <c r="CQ113" s="84"/>
      <c r="CS113" s="85"/>
      <c r="CT113" s="86"/>
    </row>
    <row r="114" spans="1:98" ht="18.75" customHeight="1">
      <c r="A114" s="342"/>
      <c r="B114" s="342"/>
      <c r="C114" s="311"/>
      <c r="D114" s="343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83"/>
      <c r="P114" s="83"/>
      <c r="Q114" s="83"/>
      <c r="R114" s="83"/>
      <c r="S114" s="83"/>
      <c r="CC114" s="55"/>
      <c r="CD114" s="465"/>
      <c r="CE114" s="466"/>
      <c r="CF114" s="466"/>
      <c r="CG114" s="466"/>
      <c r="CH114" s="467"/>
      <c r="CI114" s="70"/>
      <c r="CJ114" s="43"/>
      <c r="CK114" s="43"/>
      <c r="CL114" s="43"/>
      <c r="CM114" s="43"/>
      <c r="CN114" s="43"/>
      <c r="CO114" s="29"/>
      <c r="CP114" s="197"/>
      <c r="CQ114" s="84"/>
      <c r="CS114" s="85"/>
      <c r="CT114" s="86"/>
    </row>
    <row r="115" spans="1:98" ht="18.75">
      <c r="A115" s="342"/>
      <c r="B115" s="342"/>
      <c r="C115" s="311"/>
      <c r="D115" s="343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83"/>
      <c r="P115" s="83"/>
      <c r="Q115" s="83"/>
      <c r="R115" s="83"/>
      <c r="S115" s="83"/>
      <c r="CC115" s="55"/>
      <c r="CD115" s="468" t="s">
        <v>105</v>
      </c>
      <c r="CE115" s="469"/>
      <c r="CF115" s="469"/>
      <c r="CG115" s="469"/>
      <c r="CH115" s="470"/>
      <c r="CI115" s="70"/>
      <c r="CJ115" s="43"/>
      <c r="CK115" s="43"/>
      <c r="CL115" s="43"/>
      <c r="CM115" s="43"/>
      <c r="CN115" s="43"/>
      <c r="CO115" s="29"/>
      <c r="CP115" s="197"/>
      <c r="CQ115" s="84"/>
      <c r="CS115" s="85"/>
      <c r="CT115" s="86"/>
    </row>
    <row r="116" spans="1:98" ht="18.75">
      <c r="A116" s="342"/>
      <c r="B116" s="342"/>
      <c r="C116" s="311"/>
      <c r="D116" s="343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83"/>
      <c r="P116" s="83"/>
      <c r="Q116" s="83"/>
      <c r="R116" s="83"/>
      <c r="S116" s="83"/>
      <c r="CC116" s="55"/>
      <c r="CD116" s="51"/>
      <c r="CE116" s="46"/>
      <c r="CF116" s="46"/>
      <c r="CG116" s="46"/>
      <c r="CH116" s="43"/>
      <c r="CI116" s="43"/>
      <c r="CJ116" s="43"/>
      <c r="CK116" s="43"/>
      <c r="CL116" s="43"/>
      <c r="CM116" s="43"/>
      <c r="CN116" s="43"/>
      <c r="CO116" s="29"/>
      <c r="CP116" s="197"/>
      <c r="CQ116" s="84"/>
      <c r="CS116" s="85"/>
      <c r="CT116" s="86"/>
    </row>
    <row r="117" spans="1:98" ht="18.75">
      <c r="A117" s="342"/>
      <c r="B117" s="342"/>
      <c r="C117" s="311"/>
      <c r="D117" s="343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83"/>
      <c r="P117" s="83"/>
      <c r="Q117" s="83"/>
      <c r="R117" s="83"/>
      <c r="S117" s="83"/>
      <c r="CC117" s="55"/>
      <c r="CD117" s="48" t="s">
        <v>106</v>
      </c>
      <c r="CE117" s="46"/>
      <c r="CF117" s="46"/>
      <c r="CG117" s="46"/>
      <c r="CH117" s="43"/>
      <c r="CI117" s="43"/>
      <c r="CJ117" s="43"/>
      <c r="CK117" s="43"/>
      <c r="CL117" s="43"/>
      <c r="CM117" s="43"/>
      <c r="CN117" s="43"/>
      <c r="CO117" s="29"/>
      <c r="CP117" s="197"/>
      <c r="CQ117" s="84"/>
      <c r="CS117" s="85"/>
      <c r="CT117" s="86"/>
    </row>
    <row r="118" spans="1:98" ht="18.75">
      <c r="A118" s="342"/>
      <c r="B118" s="342"/>
      <c r="C118" s="311"/>
      <c r="D118" s="343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83"/>
      <c r="P118" s="83"/>
      <c r="Q118" s="83"/>
      <c r="R118" s="83"/>
      <c r="S118" s="83"/>
      <c r="CC118" s="55"/>
      <c r="CD118" s="48" t="s">
        <v>107</v>
      </c>
      <c r="CE118" s="46"/>
      <c r="CF118" s="46"/>
      <c r="CG118" s="46"/>
      <c r="CH118" s="43"/>
      <c r="CI118" s="43"/>
      <c r="CJ118" s="43"/>
      <c r="CK118" s="43"/>
      <c r="CL118" s="43"/>
      <c r="CM118" s="43"/>
      <c r="CN118" s="43"/>
      <c r="CO118" s="29"/>
      <c r="CP118" s="197"/>
      <c r="CQ118" s="84"/>
      <c r="CS118" s="85"/>
      <c r="CT118" s="86"/>
    </row>
    <row r="119" spans="1:98" ht="19.5" thickBot="1">
      <c r="A119" s="342"/>
      <c r="B119" s="342"/>
      <c r="C119" s="311"/>
      <c r="D119" s="343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83"/>
      <c r="P119" s="83"/>
      <c r="Q119" s="83"/>
      <c r="R119" s="83"/>
      <c r="S119" s="83"/>
      <c r="CC119" s="55"/>
      <c r="CD119" s="51"/>
      <c r="CE119" s="46"/>
      <c r="CF119" s="46"/>
      <c r="CG119" s="46"/>
      <c r="CH119" s="43"/>
      <c r="CI119" s="43"/>
      <c r="CJ119" s="43"/>
      <c r="CK119" s="43"/>
      <c r="CL119" s="43"/>
      <c r="CM119" s="43"/>
      <c r="CN119" s="43"/>
      <c r="CO119" s="29"/>
      <c r="CP119" s="197"/>
      <c r="CQ119" s="84"/>
      <c r="CS119" s="85"/>
      <c r="CT119" s="86"/>
    </row>
    <row r="120" spans="1:98" ht="19.5" thickBot="1">
      <c r="A120" s="342"/>
      <c r="B120" s="342"/>
      <c r="C120" s="311"/>
      <c r="D120" s="343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83"/>
      <c r="P120" s="83"/>
      <c r="Q120" s="83"/>
      <c r="R120" s="83"/>
      <c r="S120" s="83"/>
      <c r="CC120" s="55"/>
      <c r="CD120" s="464" t="s">
        <v>157</v>
      </c>
      <c r="CE120" s="464"/>
      <c r="CF120" s="464"/>
      <c r="CG120" s="464"/>
      <c r="CH120" s="464"/>
      <c r="CI120" s="43"/>
      <c r="CJ120" s="43"/>
      <c r="CK120" s="43"/>
      <c r="CL120" s="43"/>
      <c r="CM120" s="43"/>
      <c r="CN120" s="43"/>
      <c r="CO120" s="29"/>
      <c r="CP120" s="197"/>
      <c r="CQ120" s="84"/>
      <c r="CR120" s="173" t="s">
        <v>197</v>
      </c>
      <c r="CS120" s="85"/>
      <c r="CT120" s="86"/>
    </row>
    <row r="121" spans="1:98" ht="18.75">
      <c r="A121" s="342"/>
      <c r="B121" s="342"/>
      <c r="C121" s="311"/>
      <c r="D121" s="343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83"/>
      <c r="P121" s="83"/>
      <c r="Q121" s="83"/>
      <c r="R121" s="83"/>
      <c r="S121" s="83"/>
      <c r="CC121" s="55"/>
      <c r="CD121" s="464" t="s">
        <v>180</v>
      </c>
      <c r="CE121" s="464"/>
      <c r="CF121" s="464"/>
      <c r="CG121" s="464"/>
      <c r="CH121" s="464"/>
      <c r="CI121" s="43"/>
      <c r="CJ121" s="43"/>
      <c r="CK121" s="43"/>
      <c r="CL121" s="43"/>
      <c r="CM121" s="43"/>
      <c r="CN121" s="43"/>
      <c r="CO121" s="29"/>
      <c r="CP121" s="197"/>
      <c r="CQ121" s="84"/>
      <c r="CS121" s="85" t="s">
        <v>165</v>
      </c>
      <c r="CT121" s="86"/>
    </row>
    <row r="122" spans="1:98" ht="19.5" customHeight="1" thickBot="1">
      <c r="A122" s="342"/>
      <c r="B122" s="342"/>
      <c r="C122" s="311"/>
      <c r="D122" s="343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83"/>
      <c r="P122" s="83"/>
      <c r="Q122" s="83"/>
      <c r="R122" s="83"/>
      <c r="S122" s="83"/>
      <c r="CC122" s="55"/>
      <c r="CD122" s="51"/>
      <c r="CE122" s="46"/>
      <c r="CF122" s="46"/>
      <c r="CG122" s="46"/>
      <c r="CH122" s="43"/>
      <c r="CI122" s="43"/>
      <c r="CJ122" s="43"/>
      <c r="CK122" s="43"/>
      <c r="CL122" s="43"/>
      <c r="CM122" s="43"/>
      <c r="CN122" s="43"/>
      <c r="CO122" s="29"/>
      <c r="CP122" s="197"/>
      <c r="CQ122" s="84"/>
      <c r="CR122" s="1" t="s">
        <v>8</v>
      </c>
      <c r="CS122" s="85">
        <f>N32+N33+N34+N35</f>
        <v>0</v>
      </c>
      <c r="CT122" s="86">
        <f>CS122-CI129</f>
        <v>0</v>
      </c>
    </row>
    <row r="123" spans="1:98" ht="19.5" thickBot="1">
      <c r="A123" s="342"/>
      <c r="B123" s="342"/>
      <c r="C123" s="311"/>
      <c r="D123" s="343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83"/>
      <c r="P123" s="83"/>
      <c r="Q123" s="83"/>
      <c r="R123" s="83"/>
      <c r="S123" s="83"/>
      <c r="CC123" s="55"/>
      <c r="CD123" s="12" t="s">
        <v>51</v>
      </c>
      <c r="CE123" s="429" t="s">
        <v>10</v>
      </c>
      <c r="CF123" s="429" t="s">
        <v>93</v>
      </c>
      <c r="CG123" s="429" t="s">
        <v>94</v>
      </c>
      <c r="CH123" s="429" t="s">
        <v>95</v>
      </c>
      <c r="CI123" s="431" t="s">
        <v>43</v>
      </c>
      <c r="CJ123" s="432"/>
      <c r="CK123" s="432"/>
      <c r="CL123" s="433"/>
      <c r="CM123" s="43"/>
      <c r="CN123" s="43"/>
      <c r="CO123" s="29"/>
      <c r="CP123" s="197"/>
      <c r="CQ123" s="84"/>
      <c r="CR123" s="1" t="s">
        <v>5</v>
      </c>
      <c r="CS123" s="85">
        <f>D33+D34+D32</f>
        <v>0</v>
      </c>
      <c r="CT123" s="86">
        <f>CS123-CK129-CL129</f>
        <v>0</v>
      </c>
    </row>
    <row r="124" spans="1:98" ht="57" thickBot="1">
      <c r="A124" s="342"/>
      <c r="B124" s="342"/>
      <c r="C124" s="311"/>
      <c r="D124" s="343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83"/>
      <c r="P124" s="83"/>
      <c r="Q124" s="83"/>
      <c r="R124" s="83"/>
      <c r="S124" s="83"/>
      <c r="CC124" s="55"/>
      <c r="CD124" s="3" t="s">
        <v>39</v>
      </c>
      <c r="CE124" s="430"/>
      <c r="CF124" s="430"/>
      <c r="CG124" s="430"/>
      <c r="CH124" s="430"/>
      <c r="CI124" s="3" t="s">
        <v>46</v>
      </c>
      <c r="CJ124" s="3" t="s">
        <v>155</v>
      </c>
      <c r="CK124" s="3" t="s">
        <v>198</v>
      </c>
      <c r="CL124" s="349" t="s">
        <v>47</v>
      </c>
      <c r="CM124" s="43"/>
      <c r="CN124" s="43"/>
      <c r="CO124" s="29"/>
      <c r="CP124" s="197"/>
      <c r="CQ124" s="84"/>
      <c r="CR124" s="1" t="s">
        <v>9</v>
      </c>
      <c r="CS124" s="85">
        <f>AR33+AR34+AR32</f>
        <v>0</v>
      </c>
      <c r="CT124" s="86">
        <f>CS124-CJ129</f>
        <v>0</v>
      </c>
    </row>
    <row r="125" spans="1:98" ht="19.5" thickBot="1">
      <c r="A125" s="342"/>
      <c r="B125" s="342"/>
      <c r="C125" s="311"/>
      <c r="D125" s="343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83"/>
      <c r="P125" s="83"/>
      <c r="Q125" s="83"/>
      <c r="R125" s="83"/>
      <c r="S125" s="83"/>
      <c r="CC125" s="55"/>
      <c r="CD125" s="4">
        <v>1</v>
      </c>
      <c r="CE125" s="13">
        <v>2</v>
      </c>
      <c r="CF125" s="13">
        <v>3</v>
      </c>
      <c r="CG125" s="13">
        <v>4</v>
      </c>
      <c r="CH125" s="2">
        <v>5</v>
      </c>
      <c r="CI125" s="13">
        <v>6</v>
      </c>
      <c r="CJ125" s="13">
        <v>7</v>
      </c>
      <c r="CK125" s="13">
        <v>8</v>
      </c>
      <c r="CL125" s="350">
        <v>9</v>
      </c>
      <c r="CM125" s="43"/>
      <c r="CN125" s="43"/>
      <c r="CO125" s="29"/>
      <c r="CP125" s="197"/>
      <c r="CQ125" s="84"/>
      <c r="CS125" s="85"/>
      <c r="CT125" s="86"/>
    </row>
    <row r="126" spans="1:98" ht="18.75">
      <c r="A126" s="342"/>
      <c r="B126" s="342"/>
      <c r="C126" s="311"/>
      <c r="D126" s="343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83"/>
      <c r="P126" s="83"/>
      <c r="Q126" s="83"/>
      <c r="R126" s="83"/>
      <c r="S126" s="83"/>
      <c r="CC126" s="55"/>
      <c r="CD126" s="6">
        <v>1</v>
      </c>
      <c r="CE126" s="67"/>
      <c r="CF126" s="71"/>
      <c r="CG126" s="67">
        <v>1</v>
      </c>
      <c r="CH126" s="179">
        <f>CF126*CG126</f>
        <v>0</v>
      </c>
      <c r="CI126" s="73"/>
      <c r="CJ126" s="351"/>
      <c r="CK126" s="352"/>
      <c r="CL126" s="353"/>
      <c r="CM126" s="43"/>
      <c r="CN126" s="43"/>
      <c r="CO126" s="29"/>
      <c r="CP126" s="197"/>
      <c r="CQ126" s="84"/>
      <c r="CR126" s="85" t="s">
        <v>166</v>
      </c>
      <c r="CS126" s="85">
        <f>F33+F34</f>
        <v>0</v>
      </c>
      <c r="CT126" s="86">
        <f>CS126-CK129</f>
        <v>0</v>
      </c>
    </row>
    <row r="127" spans="1:98" ht="18.75">
      <c r="A127" s="342"/>
      <c r="B127" s="342"/>
      <c r="C127" s="311"/>
      <c r="D127" s="343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83"/>
      <c r="P127" s="83"/>
      <c r="Q127" s="83"/>
      <c r="R127" s="83"/>
      <c r="S127" s="83"/>
      <c r="CC127" s="55"/>
      <c r="CD127" s="16">
        <v>2</v>
      </c>
      <c r="CE127" s="74"/>
      <c r="CF127" s="75"/>
      <c r="CG127" s="74">
        <v>1</v>
      </c>
      <c r="CH127" s="76">
        <f>CF127*CG127</f>
        <v>0</v>
      </c>
      <c r="CI127" s="19"/>
      <c r="CJ127" s="354"/>
      <c r="CK127" s="45"/>
      <c r="CL127" s="133"/>
      <c r="CM127" s="43"/>
      <c r="CN127" s="43"/>
      <c r="CO127" s="29"/>
      <c r="CP127" s="197"/>
      <c r="CQ127" s="84"/>
      <c r="CR127" s="85" t="s">
        <v>47</v>
      </c>
      <c r="CS127" s="85">
        <f>E33+E34</f>
        <v>0</v>
      </c>
      <c r="CT127" s="86">
        <f>CS127-CL129</f>
        <v>0</v>
      </c>
    </row>
    <row r="128" spans="1:98" ht="19.5" thickBot="1">
      <c r="A128" s="342"/>
      <c r="B128" s="342"/>
      <c r="C128" s="311"/>
      <c r="D128" s="343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83"/>
      <c r="P128" s="83"/>
      <c r="Q128" s="83"/>
      <c r="R128" s="83"/>
      <c r="S128" s="83"/>
      <c r="CC128" s="55"/>
      <c r="CD128" s="8">
        <v>3</v>
      </c>
      <c r="CE128" s="68"/>
      <c r="CF128" s="77"/>
      <c r="CG128" s="68"/>
      <c r="CH128" s="78"/>
      <c r="CI128" s="79"/>
      <c r="CJ128" s="355"/>
      <c r="CK128" s="356"/>
      <c r="CL128" s="357"/>
      <c r="CM128" s="43"/>
      <c r="CN128" s="43"/>
      <c r="CO128" s="29"/>
      <c r="CP128" s="197"/>
      <c r="CQ128" s="84"/>
      <c r="CS128" s="85"/>
      <c r="CT128" s="86"/>
    </row>
    <row r="129" spans="1:98" ht="19.5" thickBot="1">
      <c r="A129" s="342"/>
      <c r="B129" s="342"/>
      <c r="C129" s="311"/>
      <c r="D129" s="343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83"/>
      <c r="P129" s="83"/>
      <c r="Q129" s="83"/>
      <c r="R129" s="83"/>
      <c r="S129" s="83"/>
      <c r="CC129" s="55"/>
      <c r="CD129" s="445" t="s">
        <v>48</v>
      </c>
      <c r="CE129" s="446"/>
      <c r="CF129" s="69" t="s">
        <v>56</v>
      </c>
      <c r="CG129" s="69" t="s">
        <v>56</v>
      </c>
      <c r="CH129" s="69"/>
      <c r="CI129" s="80">
        <f>SUM(CI126:CI127)</f>
        <v>0</v>
      </c>
      <c r="CJ129" s="81">
        <f>SUM(CJ126:CJ127)</f>
        <v>0</v>
      </c>
      <c r="CK129" s="82">
        <f>SUM(CK126:CK128)</f>
        <v>0</v>
      </c>
      <c r="CL129" s="82">
        <f>SUM(CL126:CL128)</f>
        <v>0</v>
      </c>
      <c r="CM129" s="43"/>
      <c r="CN129" s="43"/>
      <c r="CO129" s="29"/>
      <c r="CP129" s="197"/>
      <c r="CQ129" s="84"/>
      <c r="CS129" s="85"/>
      <c r="CT129" s="86"/>
    </row>
    <row r="130" spans="1:98" ht="18.75" customHeight="1">
      <c r="A130" s="342"/>
      <c r="B130" s="342"/>
      <c r="C130" s="311"/>
      <c r="D130" s="343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83"/>
      <c r="P130" s="83"/>
      <c r="Q130" s="83"/>
      <c r="R130" s="83"/>
      <c r="S130" s="83"/>
      <c r="CC130" s="55"/>
      <c r="CD130" s="447"/>
      <c r="CE130" s="447"/>
      <c r="CF130" s="447"/>
      <c r="CG130" s="447"/>
      <c r="CH130" s="447"/>
      <c r="CI130" s="447"/>
      <c r="CJ130" s="43"/>
      <c r="CK130" s="43"/>
      <c r="CL130" s="43"/>
      <c r="CM130" s="43"/>
      <c r="CN130" s="43"/>
      <c r="CO130" s="29"/>
      <c r="CP130" s="197"/>
      <c r="CQ130" s="84"/>
      <c r="CS130" s="85"/>
      <c r="CT130" s="86"/>
    </row>
    <row r="131" spans="1:98" ht="18.75">
      <c r="A131" s="358"/>
      <c r="B131" s="358"/>
      <c r="C131" s="311"/>
      <c r="D131" s="343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83"/>
      <c r="P131" s="83"/>
      <c r="Q131" s="83"/>
      <c r="R131" s="83"/>
      <c r="S131" s="83"/>
      <c r="CC131" s="55"/>
      <c r="CD131" s="463" t="s">
        <v>105</v>
      </c>
      <c r="CE131" s="463"/>
      <c r="CF131" s="463"/>
      <c r="CG131" s="463"/>
      <c r="CH131" s="463"/>
      <c r="CI131" s="463"/>
      <c r="CJ131" s="43"/>
      <c r="CK131" s="43"/>
      <c r="CL131" s="43"/>
      <c r="CM131" s="43"/>
      <c r="CN131" s="43"/>
      <c r="CO131" s="29"/>
      <c r="CP131" s="197"/>
      <c r="CQ131" s="84"/>
      <c r="CS131" s="85"/>
      <c r="CT131" s="86"/>
    </row>
    <row r="132" spans="1:98" ht="18.75">
      <c r="A132" s="358"/>
      <c r="B132" s="358"/>
      <c r="C132" s="311"/>
      <c r="D132" s="343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83"/>
      <c r="P132" s="83"/>
      <c r="Q132" s="83"/>
      <c r="R132" s="83"/>
      <c r="S132" s="83"/>
      <c r="CC132" s="55"/>
      <c r="CD132" s="70"/>
      <c r="CE132" s="70"/>
      <c r="CF132" s="70"/>
      <c r="CG132" s="70"/>
      <c r="CH132" s="70"/>
      <c r="CI132" s="70"/>
      <c r="CJ132" s="43"/>
      <c r="CK132" s="43"/>
      <c r="CL132" s="43"/>
      <c r="CM132" s="43"/>
      <c r="CN132" s="43"/>
      <c r="CO132" s="29"/>
      <c r="CP132" s="197"/>
      <c r="CQ132" s="84"/>
      <c r="CS132" s="85"/>
      <c r="CT132" s="86"/>
    </row>
    <row r="133" spans="1:98" ht="18.75">
      <c r="A133" s="358"/>
      <c r="B133" s="358"/>
      <c r="C133" s="311"/>
      <c r="D133" s="343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83"/>
      <c r="P133" s="83"/>
      <c r="Q133" s="83"/>
      <c r="R133" s="83"/>
      <c r="S133" s="83"/>
      <c r="CC133" s="55"/>
      <c r="CD133" s="48" t="s">
        <v>108</v>
      </c>
      <c r="CE133" s="46"/>
      <c r="CF133" s="46"/>
      <c r="CG133" s="46"/>
      <c r="CH133" s="43"/>
      <c r="CI133" s="43"/>
      <c r="CJ133" s="43"/>
      <c r="CK133" s="43"/>
      <c r="CL133" s="43"/>
      <c r="CM133" s="43"/>
      <c r="CN133" s="43"/>
      <c r="CO133" s="29"/>
      <c r="CP133" s="197"/>
      <c r="CQ133" s="84"/>
      <c r="CS133" s="85"/>
      <c r="CT133" s="86"/>
    </row>
    <row r="134" spans="1:98" ht="18.75">
      <c r="A134" s="342"/>
      <c r="B134" s="342"/>
      <c r="C134" s="311"/>
      <c r="D134" s="343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83"/>
      <c r="P134" s="83"/>
      <c r="Q134" s="83"/>
      <c r="R134" s="83"/>
      <c r="S134" s="83"/>
      <c r="CC134" s="55"/>
      <c r="CD134" s="51"/>
      <c r="CE134" s="46"/>
      <c r="CF134" s="46"/>
      <c r="CG134" s="46"/>
      <c r="CH134" s="43"/>
      <c r="CI134" s="43"/>
      <c r="CJ134" s="43"/>
      <c r="CK134" s="43"/>
      <c r="CL134" s="43"/>
      <c r="CM134" s="43"/>
      <c r="CN134" s="43"/>
      <c r="CO134" s="29"/>
      <c r="CP134" s="197"/>
      <c r="CQ134" s="84"/>
      <c r="CS134" s="85"/>
      <c r="CT134" s="86"/>
    </row>
    <row r="135" spans="1:98" ht="19.5" thickBot="1">
      <c r="A135" s="358"/>
      <c r="B135" s="358"/>
      <c r="C135" s="311"/>
      <c r="D135" s="343"/>
      <c r="E135" s="344"/>
      <c r="F135" s="344"/>
      <c r="G135" s="344"/>
      <c r="H135" s="344"/>
      <c r="I135" s="344"/>
      <c r="J135" s="344"/>
      <c r="K135" s="344"/>
      <c r="L135" s="344"/>
      <c r="M135" s="344"/>
      <c r="N135" s="344"/>
      <c r="O135" s="83"/>
      <c r="P135" s="83"/>
      <c r="Q135" s="83"/>
      <c r="R135" s="83"/>
      <c r="S135" s="83"/>
      <c r="CC135" s="55"/>
      <c r="CD135" s="464" t="s">
        <v>199</v>
      </c>
      <c r="CE135" s="464"/>
      <c r="CF135" s="464"/>
      <c r="CG135" s="464"/>
      <c r="CH135" s="464"/>
      <c r="CI135" s="43"/>
      <c r="CJ135" s="43"/>
      <c r="CK135" s="43"/>
      <c r="CL135" s="43"/>
      <c r="CM135" s="43"/>
      <c r="CN135" s="43"/>
      <c r="CO135" s="29"/>
      <c r="CP135" s="197"/>
      <c r="CQ135" s="84"/>
      <c r="CS135" s="85"/>
      <c r="CT135" s="86"/>
    </row>
    <row r="136" spans="1:98" ht="19.5" thickBot="1">
      <c r="A136" s="358"/>
      <c r="B136" s="358"/>
      <c r="C136" s="311"/>
      <c r="D136" s="343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83"/>
      <c r="P136" s="83"/>
      <c r="Q136" s="83"/>
      <c r="R136" s="83"/>
      <c r="S136" s="83"/>
      <c r="CC136" s="55"/>
      <c r="CD136" s="464" t="s">
        <v>180</v>
      </c>
      <c r="CE136" s="464"/>
      <c r="CF136" s="464"/>
      <c r="CG136" s="464"/>
      <c r="CH136" s="464"/>
      <c r="CI136" s="43"/>
      <c r="CJ136" s="43"/>
      <c r="CK136" s="43"/>
      <c r="CL136" s="43"/>
      <c r="CM136" s="43"/>
      <c r="CN136" s="43"/>
      <c r="CO136" s="29"/>
      <c r="CP136" s="197"/>
      <c r="CQ136" s="84"/>
      <c r="CR136" s="173" t="s">
        <v>109</v>
      </c>
      <c r="CS136" s="85"/>
      <c r="CT136" s="86"/>
    </row>
    <row r="137" spans="1:98" ht="18.75">
      <c r="A137" s="358"/>
      <c r="B137" s="358"/>
      <c r="C137" s="311"/>
      <c r="D137" s="343"/>
      <c r="E137" s="344"/>
      <c r="F137" s="344"/>
      <c r="G137" s="344"/>
      <c r="H137" s="344"/>
      <c r="I137" s="344"/>
      <c r="J137" s="344"/>
      <c r="K137" s="344"/>
      <c r="L137" s="344"/>
      <c r="M137" s="344"/>
      <c r="N137" s="344"/>
      <c r="O137" s="83"/>
      <c r="P137" s="83"/>
      <c r="Q137" s="83"/>
      <c r="R137" s="83"/>
      <c r="S137" s="83"/>
      <c r="CC137" s="55"/>
      <c r="CD137" s="51"/>
      <c r="CE137" s="46"/>
      <c r="CF137" s="46"/>
      <c r="CG137" s="46"/>
      <c r="CH137" s="43"/>
      <c r="CI137" s="43"/>
      <c r="CJ137" s="43"/>
      <c r="CK137" s="43"/>
      <c r="CL137" s="43"/>
      <c r="CM137" s="43"/>
      <c r="CN137" s="43"/>
      <c r="CO137" s="29"/>
      <c r="CP137" s="197"/>
      <c r="CQ137" s="84"/>
      <c r="CR137" s="1" t="s">
        <v>8</v>
      </c>
      <c r="CS137" s="85">
        <f>$N$15</f>
        <v>41465.97</v>
      </c>
      <c r="CT137" s="86">
        <f>CS137-CK148</f>
        <v>0</v>
      </c>
    </row>
    <row r="138" spans="1:98" ht="18.75">
      <c r="A138" s="358"/>
      <c r="B138" s="358"/>
      <c r="C138" s="311"/>
      <c r="D138" s="343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  <c r="O138" s="83"/>
      <c r="P138" s="83"/>
      <c r="Q138" s="83"/>
      <c r="R138" s="83"/>
      <c r="S138" s="83"/>
      <c r="CC138" s="55"/>
      <c r="CD138" s="48" t="s">
        <v>110</v>
      </c>
      <c r="CE138" s="46"/>
      <c r="CF138" s="46"/>
      <c r="CG138" s="46"/>
      <c r="CH138" s="43"/>
      <c r="CI138" s="43"/>
      <c r="CJ138" s="43"/>
      <c r="CK138" s="43"/>
      <c r="CL138" s="43"/>
      <c r="CM138" s="43"/>
      <c r="CN138" s="43"/>
      <c r="CO138" s="29"/>
      <c r="CP138" s="197"/>
      <c r="CQ138" s="84"/>
      <c r="CR138" s="1" t="s">
        <v>5</v>
      </c>
      <c r="CS138" s="85">
        <f>D15</f>
        <v>2146.67</v>
      </c>
      <c r="CT138" s="86">
        <f>CS138-CL148-CM148</f>
        <v>0</v>
      </c>
    </row>
    <row r="139" spans="1:98" ht="19.5" customHeight="1" thickBot="1">
      <c r="A139" s="358"/>
      <c r="B139" s="358"/>
      <c r="C139" s="311"/>
      <c r="D139" s="343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83"/>
      <c r="P139" s="83"/>
      <c r="Q139" s="83"/>
      <c r="R139" s="83"/>
      <c r="S139" s="83"/>
      <c r="CC139" s="55"/>
      <c r="CD139" s="51"/>
      <c r="CE139" s="46"/>
      <c r="CF139" s="46"/>
      <c r="CG139" s="46"/>
      <c r="CH139" s="43"/>
      <c r="CI139" s="43"/>
      <c r="CJ139" s="43"/>
      <c r="CK139" s="43"/>
      <c r="CL139" s="43"/>
      <c r="CM139" s="43"/>
      <c r="CN139" s="43"/>
      <c r="CO139" s="29"/>
      <c r="CP139" s="197"/>
      <c r="CQ139" s="84"/>
      <c r="CS139" s="85"/>
      <c r="CT139" s="86"/>
    </row>
    <row r="140" spans="1:98" ht="19.5" thickBot="1">
      <c r="A140" s="358"/>
      <c r="B140" s="358"/>
      <c r="C140" s="311"/>
      <c r="D140" s="343"/>
      <c r="E140" s="344"/>
      <c r="F140" s="344"/>
      <c r="G140" s="344"/>
      <c r="H140" s="344"/>
      <c r="I140" s="344"/>
      <c r="J140" s="344"/>
      <c r="K140" s="344"/>
      <c r="L140" s="344"/>
      <c r="M140" s="344"/>
      <c r="N140" s="344"/>
      <c r="O140" s="83"/>
      <c r="P140" s="83"/>
      <c r="Q140" s="83"/>
      <c r="R140" s="83"/>
      <c r="S140" s="83"/>
      <c r="CC140" s="55"/>
      <c r="CD140" s="12" t="s">
        <v>51</v>
      </c>
      <c r="CE140" s="429" t="s">
        <v>26</v>
      </c>
      <c r="CF140" s="429" t="s">
        <v>200</v>
      </c>
      <c r="CG140" s="429" t="s">
        <v>111</v>
      </c>
      <c r="CH140" s="429" t="s">
        <v>112</v>
      </c>
      <c r="CI140" s="429" t="s">
        <v>113</v>
      </c>
      <c r="CJ140" s="429" t="s">
        <v>55</v>
      </c>
      <c r="CK140" s="431" t="s">
        <v>43</v>
      </c>
      <c r="CL140" s="432"/>
      <c r="CM140" s="433"/>
      <c r="CN140" s="43"/>
      <c r="CO140" s="29"/>
      <c r="CP140" s="197"/>
      <c r="CQ140" s="84"/>
      <c r="CR140" s="85" t="s">
        <v>47</v>
      </c>
      <c r="CS140" s="85">
        <f>E15</f>
        <v>2146.67</v>
      </c>
      <c r="CT140" s="86">
        <f>CS140-CL148</f>
        <v>0</v>
      </c>
    </row>
    <row r="141" spans="1:98" ht="38.25" thickBot="1">
      <c r="A141" s="358"/>
      <c r="B141" s="358"/>
      <c r="C141" s="311"/>
      <c r="D141" s="343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83"/>
      <c r="P141" s="83"/>
      <c r="Q141" s="83"/>
      <c r="R141" s="83"/>
      <c r="S141" s="83"/>
      <c r="CC141" s="55"/>
      <c r="CD141" s="4" t="s">
        <v>39</v>
      </c>
      <c r="CE141" s="430"/>
      <c r="CF141" s="430"/>
      <c r="CG141" s="430"/>
      <c r="CH141" s="430"/>
      <c r="CI141" s="430"/>
      <c r="CJ141" s="430"/>
      <c r="CK141" s="4" t="s">
        <v>46</v>
      </c>
      <c r="CL141" s="4" t="s">
        <v>47</v>
      </c>
      <c r="CM141" s="4" t="s">
        <v>100</v>
      </c>
      <c r="CN141" s="43"/>
      <c r="CO141" s="29"/>
      <c r="CP141" s="197"/>
      <c r="CQ141" s="84"/>
      <c r="CR141" s="85" t="s">
        <v>166</v>
      </c>
      <c r="CS141" s="85">
        <f>F15</f>
        <v>0</v>
      </c>
      <c r="CT141" s="86"/>
    </row>
    <row r="142" spans="1:99" ht="18.75" customHeight="1" thickBot="1">
      <c r="A142" s="358"/>
      <c r="B142" s="358"/>
      <c r="C142" s="311"/>
      <c r="D142" s="343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83"/>
      <c r="P142" s="83"/>
      <c r="Q142" s="83"/>
      <c r="R142" s="83"/>
      <c r="S142" s="83"/>
      <c r="CC142" s="55"/>
      <c r="CD142" s="360">
        <v>1</v>
      </c>
      <c r="CE142" s="361">
        <v>2</v>
      </c>
      <c r="CF142" s="360">
        <v>3</v>
      </c>
      <c r="CG142" s="361">
        <v>4</v>
      </c>
      <c r="CH142" s="360">
        <v>5</v>
      </c>
      <c r="CI142" s="361">
        <v>6</v>
      </c>
      <c r="CJ142" s="362">
        <v>7</v>
      </c>
      <c r="CK142" s="360">
        <v>8</v>
      </c>
      <c r="CL142" s="2">
        <v>9</v>
      </c>
      <c r="CM142" s="327">
        <v>10</v>
      </c>
      <c r="CN142" s="43"/>
      <c r="CO142" s="29"/>
      <c r="CP142" s="197"/>
      <c r="CQ142" s="84"/>
      <c r="CR142" s="85" t="s">
        <v>167</v>
      </c>
      <c r="CS142" s="85">
        <f>G15</f>
        <v>0</v>
      </c>
      <c r="CT142" s="86">
        <f>CS142-CM148</f>
        <v>0</v>
      </c>
      <c r="CU142" s="325" t="s">
        <v>203</v>
      </c>
    </row>
    <row r="143" spans="1:99" ht="18.75">
      <c r="A143" s="363"/>
      <c r="B143" s="363"/>
      <c r="C143" s="34"/>
      <c r="D143" s="83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83"/>
      <c r="P143" s="83"/>
      <c r="Q143" s="83"/>
      <c r="R143" s="83"/>
      <c r="S143" s="83"/>
      <c r="CC143" s="55"/>
      <c r="CD143" s="451">
        <v>1</v>
      </c>
      <c r="CE143" s="453" t="s">
        <v>114</v>
      </c>
      <c r="CF143" s="455" t="s">
        <v>257</v>
      </c>
      <c r="CG143" s="455">
        <v>1</v>
      </c>
      <c r="CH143" s="455">
        <v>12</v>
      </c>
      <c r="CI143" s="456">
        <f>CJ143/CH143/CG143</f>
        <v>359.39</v>
      </c>
      <c r="CJ143" s="457">
        <f>CK143+CL143+CM143</f>
        <v>4312.64</v>
      </c>
      <c r="CK143" s="459">
        <v>3845.97</v>
      </c>
      <c r="CL143" s="461">
        <v>466.67</v>
      </c>
      <c r="CM143" s="448"/>
      <c r="CN143" s="43"/>
      <c r="CO143" s="29"/>
      <c r="CP143" s="197"/>
      <c r="CQ143" s="84"/>
      <c r="CS143" s="85"/>
      <c r="CT143" s="86"/>
      <c r="CU143" s="326">
        <f>CJ143-CK143-CL143-CM143</f>
        <v>0</v>
      </c>
    </row>
    <row r="144" spans="1:99" ht="92.25" customHeight="1">
      <c r="A144" s="364"/>
      <c r="B144" s="364"/>
      <c r="C144" s="311"/>
      <c r="D144" s="83"/>
      <c r="E144" s="344"/>
      <c r="F144" s="344"/>
      <c r="G144" s="344"/>
      <c r="H144" s="344"/>
      <c r="I144" s="344"/>
      <c r="J144" s="344"/>
      <c r="K144" s="344"/>
      <c r="L144" s="344"/>
      <c r="M144" s="344"/>
      <c r="N144" s="344"/>
      <c r="O144" s="83"/>
      <c r="P144" s="83"/>
      <c r="Q144" s="83"/>
      <c r="R144" s="83"/>
      <c r="S144" s="83"/>
      <c r="CC144" s="55"/>
      <c r="CD144" s="452"/>
      <c r="CE144" s="454"/>
      <c r="CF144" s="439"/>
      <c r="CG144" s="439"/>
      <c r="CH144" s="439"/>
      <c r="CI144" s="439"/>
      <c r="CJ144" s="458"/>
      <c r="CK144" s="460"/>
      <c r="CL144" s="462"/>
      <c r="CM144" s="449"/>
      <c r="CN144" s="43"/>
      <c r="CO144" s="29"/>
      <c r="CP144" s="197"/>
      <c r="CQ144" s="84"/>
      <c r="CS144" s="85"/>
      <c r="CT144" s="86"/>
      <c r="CU144" s="326">
        <f>CJ144-CK144-CL144-CM144</f>
        <v>0</v>
      </c>
    </row>
    <row r="145" spans="1:99" ht="18.75">
      <c r="A145" s="364"/>
      <c r="B145" s="364"/>
      <c r="C145" s="311"/>
      <c r="D145" s="328"/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83"/>
      <c r="P145" s="83"/>
      <c r="Q145" s="83"/>
      <c r="R145" s="83"/>
      <c r="S145" s="83"/>
      <c r="CC145" s="55"/>
      <c r="CD145" s="16">
        <v>2</v>
      </c>
      <c r="CE145" s="74" t="s">
        <v>201</v>
      </c>
      <c r="CF145" s="74"/>
      <c r="CG145" s="74">
        <v>1</v>
      </c>
      <c r="CH145" s="74">
        <v>12</v>
      </c>
      <c r="CI145" s="74"/>
      <c r="CJ145" s="139"/>
      <c r="CK145" s="366"/>
      <c r="CL145" s="105"/>
      <c r="CM145" s="367"/>
      <c r="CN145" s="43"/>
      <c r="CO145" s="29"/>
      <c r="CP145" s="197"/>
      <c r="CQ145" s="84"/>
      <c r="CS145" s="85"/>
      <c r="CT145" s="86"/>
      <c r="CU145" s="326">
        <f>CJ145-CK145-CL145-CM145</f>
        <v>0</v>
      </c>
    </row>
    <row r="146" spans="81:99" ht="75">
      <c r="CC146" s="55"/>
      <c r="CD146" s="16">
        <v>3</v>
      </c>
      <c r="CE146" s="74" t="s">
        <v>115</v>
      </c>
      <c r="CF146" s="74" t="s">
        <v>256</v>
      </c>
      <c r="CG146" s="74">
        <v>1</v>
      </c>
      <c r="CH146" s="74">
        <v>12</v>
      </c>
      <c r="CI146" s="76">
        <f>CJ146/CH146/CG146</f>
        <v>3275</v>
      </c>
      <c r="CJ146" s="139">
        <f>CK146+CL146+CM146</f>
        <v>39300</v>
      </c>
      <c r="CK146" s="140">
        <v>37620</v>
      </c>
      <c r="CL146" s="75">
        <v>1680</v>
      </c>
      <c r="CM146" s="367"/>
      <c r="CN146" s="43"/>
      <c r="CO146" s="29"/>
      <c r="CP146" s="197"/>
      <c r="CQ146" s="84"/>
      <c r="CS146" s="85"/>
      <c r="CT146" s="86"/>
      <c r="CU146" s="326">
        <f>CJ146-CK146-CL146-CM146</f>
        <v>0</v>
      </c>
    </row>
    <row r="147" spans="81:99" ht="19.5" thickBot="1">
      <c r="CC147" s="55"/>
      <c r="CD147" s="368">
        <v>4</v>
      </c>
      <c r="CE147" s="369" t="s">
        <v>238</v>
      </c>
      <c r="CF147" s="369"/>
      <c r="CG147" s="369">
        <v>1</v>
      </c>
      <c r="CH147" s="369">
        <v>1</v>
      </c>
      <c r="CI147" s="369"/>
      <c r="CJ147" s="370">
        <f>CK147+CL147+CM147</f>
        <v>0</v>
      </c>
      <c r="CK147" s="371"/>
      <c r="CL147" s="106"/>
      <c r="CM147" s="372"/>
      <c r="CN147" s="43"/>
      <c r="CO147" s="29"/>
      <c r="CP147" s="197"/>
      <c r="CQ147" s="84"/>
      <c r="CS147" s="85"/>
      <c r="CT147" s="86"/>
      <c r="CU147" s="333">
        <f>CJ147-CK147-CL147-CM147</f>
        <v>0</v>
      </c>
    </row>
    <row r="148" spans="1:98" ht="19.5" thickBot="1">
      <c r="A148" s="363"/>
      <c r="B148" s="364"/>
      <c r="C148" s="373"/>
      <c r="D148" s="363"/>
      <c r="E148" s="374"/>
      <c r="F148" s="374"/>
      <c r="G148" s="374"/>
      <c r="H148" s="374"/>
      <c r="I148" s="374"/>
      <c r="J148" s="375"/>
      <c r="K148" s="375"/>
      <c r="L148" s="375"/>
      <c r="M148" s="375"/>
      <c r="N148" s="375"/>
      <c r="O148" s="83"/>
      <c r="P148" s="83"/>
      <c r="Q148" s="83"/>
      <c r="R148" s="83"/>
      <c r="S148" s="83"/>
      <c r="CC148" s="55"/>
      <c r="CD148" s="445" t="s">
        <v>48</v>
      </c>
      <c r="CE148" s="446"/>
      <c r="CF148" s="182"/>
      <c r="CG148" s="69" t="s">
        <v>56</v>
      </c>
      <c r="CH148" s="69" t="s">
        <v>56</v>
      </c>
      <c r="CI148" s="69" t="s">
        <v>56</v>
      </c>
      <c r="CJ148" s="322">
        <f>SUM(CJ143:CJ147)</f>
        <v>43612.64</v>
      </c>
      <c r="CK148" s="322">
        <f>SUM(CK143:CK146)</f>
        <v>41465.97</v>
      </c>
      <c r="CL148" s="322">
        <f>SUM(CL143:CL147)</f>
        <v>2146.67</v>
      </c>
      <c r="CM148" s="322">
        <f>SUM(CM143:CM146)</f>
        <v>0</v>
      </c>
      <c r="CN148" s="43"/>
      <c r="CO148" s="29"/>
      <c r="CP148" s="197"/>
      <c r="CQ148" s="84"/>
      <c r="CS148" s="85"/>
      <c r="CT148" s="86"/>
    </row>
    <row r="149" spans="1:98" ht="18.75" customHeight="1">
      <c r="A149" s="364"/>
      <c r="B149" s="364"/>
      <c r="C149" s="311"/>
      <c r="D149" s="328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83"/>
      <c r="P149" s="83"/>
      <c r="Q149" s="83"/>
      <c r="R149" s="83"/>
      <c r="S149" s="83"/>
      <c r="CC149" s="55"/>
      <c r="CD149" s="450"/>
      <c r="CE149" s="447"/>
      <c r="CF149" s="447"/>
      <c r="CG149" s="447"/>
      <c r="CH149" s="447"/>
      <c r="CI149" s="447"/>
      <c r="CJ149" s="43"/>
      <c r="CK149" s="43"/>
      <c r="CL149" s="376"/>
      <c r="CM149" s="43"/>
      <c r="CN149" s="43"/>
      <c r="CO149" s="29"/>
      <c r="CP149" s="197"/>
      <c r="CQ149" s="84"/>
      <c r="CS149" s="85"/>
      <c r="CT149" s="86"/>
    </row>
    <row r="150" spans="1:98" ht="18.75">
      <c r="A150" s="363"/>
      <c r="B150" s="364"/>
      <c r="C150" s="373"/>
      <c r="D150" s="363"/>
      <c r="E150" s="374"/>
      <c r="F150" s="374"/>
      <c r="G150" s="374"/>
      <c r="H150" s="374"/>
      <c r="I150" s="374"/>
      <c r="J150" s="375"/>
      <c r="K150" s="375"/>
      <c r="L150" s="375"/>
      <c r="M150" s="375"/>
      <c r="N150" s="375"/>
      <c r="O150" s="83"/>
      <c r="P150" s="83"/>
      <c r="Q150" s="83"/>
      <c r="R150" s="83"/>
      <c r="S150" s="83"/>
      <c r="CC150" s="55"/>
      <c r="CD150" s="440" t="s">
        <v>57</v>
      </c>
      <c r="CE150" s="441"/>
      <c r="CF150" s="441"/>
      <c r="CG150" s="441"/>
      <c r="CH150" s="441"/>
      <c r="CI150" s="441"/>
      <c r="CJ150" s="377"/>
      <c r="CK150" s="377"/>
      <c r="CL150" s="378"/>
      <c r="CM150" s="43"/>
      <c r="CN150" s="43"/>
      <c r="CO150" s="29"/>
      <c r="CP150" s="197"/>
      <c r="CQ150" s="84"/>
      <c r="CS150" s="85"/>
      <c r="CT150" s="86"/>
    </row>
    <row r="151" spans="1:98" ht="18.75">
      <c r="A151" s="358"/>
      <c r="B151" s="342"/>
      <c r="C151" s="34"/>
      <c r="D151" s="363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83"/>
      <c r="P151" s="83"/>
      <c r="Q151" s="83"/>
      <c r="R151" s="83"/>
      <c r="S151" s="83"/>
      <c r="CC151" s="55"/>
      <c r="CD151" s="51"/>
      <c r="CE151" s="46"/>
      <c r="CF151" s="46"/>
      <c r="CG151" s="46"/>
      <c r="CH151" s="43"/>
      <c r="CI151" s="43"/>
      <c r="CJ151" s="43"/>
      <c r="CK151" s="43"/>
      <c r="CL151" s="43"/>
      <c r="CM151" s="43"/>
      <c r="CN151" s="43"/>
      <c r="CO151" s="29"/>
      <c r="CP151" s="197"/>
      <c r="CQ151" s="84"/>
      <c r="CS151" s="85"/>
      <c r="CT151" s="86"/>
    </row>
    <row r="152" spans="1:98" ht="19.5" thickBo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CC152" s="55"/>
      <c r="CD152" s="48" t="s">
        <v>116</v>
      </c>
      <c r="CE152" s="46"/>
      <c r="CF152" s="46"/>
      <c r="CG152" s="46"/>
      <c r="CH152" s="43"/>
      <c r="CI152" s="43"/>
      <c r="CJ152" s="43"/>
      <c r="CK152" s="43"/>
      <c r="CL152" s="43"/>
      <c r="CM152" s="43"/>
      <c r="CN152" s="43"/>
      <c r="CO152" s="29"/>
      <c r="CP152" s="197"/>
      <c r="CQ152" s="84"/>
      <c r="CS152" s="85"/>
      <c r="CT152" s="86"/>
    </row>
    <row r="153" spans="1:98" ht="18.75" customHeight="1" thickBot="1">
      <c r="A153" s="83"/>
      <c r="B153" s="83"/>
      <c r="C153" s="83"/>
      <c r="D153" s="83"/>
      <c r="E153" s="308"/>
      <c r="F153" s="308"/>
      <c r="G153" s="308"/>
      <c r="H153" s="308"/>
      <c r="I153" s="308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CC153" s="55"/>
      <c r="CD153" s="51"/>
      <c r="CE153" s="46"/>
      <c r="CF153" s="46"/>
      <c r="CG153" s="46"/>
      <c r="CH153" s="43"/>
      <c r="CI153" s="43"/>
      <c r="CJ153" s="43"/>
      <c r="CK153" s="43"/>
      <c r="CL153" s="43"/>
      <c r="CM153" s="43"/>
      <c r="CN153" s="43"/>
      <c r="CO153" s="29"/>
      <c r="CP153" s="197"/>
      <c r="CQ153" s="84"/>
      <c r="CR153" s="173" t="s">
        <v>117</v>
      </c>
      <c r="CS153" s="85"/>
      <c r="CT153" s="86"/>
    </row>
    <row r="154" spans="1:99" ht="19.5" thickBot="1">
      <c r="A154" s="83"/>
      <c r="B154" s="83"/>
      <c r="C154" s="83"/>
      <c r="D154" s="83"/>
      <c r="E154" s="308"/>
      <c r="F154" s="308"/>
      <c r="G154" s="308"/>
      <c r="H154" s="308"/>
      <c r="I154" s="308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CC154" s="55"/>
      <c r="CD154" s="12" t="s">
        <v>51</v>
      </c>
      <c r="CE154" s="429" t="s">
        <v>26</v>
      </c>
      <c r="CF154" s="429" t="s">
        <v>200</v>
      </c>
      <c r="CG154" s="429" t="s">
        <v>118</v>
      </c>
      <c r="CH154" s="429" t="s">
        <v>119</v>
      </c>
      <c r="CI154" s="429" t="s">
        <v>55</v>
      </c>
      <c r="CJ154" s="442" t="s">
        <v>43</v>
      </c>
      <c r="CK154" s="443"/>
      <c r="CL154" s="443"/>
      <c r="CM154" s="444"/>
      <c r="CN154" s="43"/>
      <c r="CO154" s="29"/>
      <c r="CP154" s="197"/>
      <c r="CQ154" s="84"/>
      <c r="CS154" s="85"/>
      <c r="CT154" s="85"/>
      <c r="CU154" s="86"/>
    </row>
    <row r="155" spans="1:99" ht="38.25" thickBo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CC155" s="55"/>
      <c r="CD155" s="3" t="s">
        <v>39</v>
      </c>
      <c r="CE155" s="430"/>
      <c r="CF155" s="430"/>
      <c r="CG155" s="430"/>
      <c r="CH155" s="430"/>
      <c r="CI155" s="430"/>
      <c r="CJ155" s="183" t="s">
        <v>46</v>
      </c>
      <c r="CK155" s="54" t="s">
        <v>47</v>
      </c>
      <c r="CL155" s="184" t="s">
        <v>127</v>
      </c>
      <c r="CM155" s="54" t="s">
        <v>220</v>
      </c>
      <c r="CN155" s="43"/>
      <c r="CO155" s="29"/>
      <c r="CP155" s="197"/>
      <c r="CQ155" s="84"/>
      <c r="CS155" s="85"/>
      <c r="CT155" s="85"/>
      <c r="CU155" s="86"/>
    </row>
    <row r="156" spans="1:99" ht="19.5" thickBo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CC156" s="55"/>
      <c r="CD156" s="4">
        <v>1</v>
      </c>
      <c r="CE156" s="13">
        <v>2</v>
      </c>
      <c r="CF156" s="4">
        <v>3</v>
      </c>
      <c r="CG156" s="13">
        <v>4</v>
      </c>
      <c r="CH156" s="4">
        <v>5</v>
      </c>
      <c r="CI156" s="13">
        <v>6</v>
      </c>
      <c r="CJ156" s="5">
        <v>7</v>
      </c>
      <c r="CK156" s="187">
        <v>8</v>
      </c>
      <c r="CL156" s="187">
        <v>9</v>
      </c>
      <c r="CM156" s="187">
        <v>10</v>
      </c>
      <c r="CN156" s="43"/>
      <c r="CO156" s="29"/>
      <c r="CP156" s="197"/>
      <c r="CQ156" s="84"/>
      <c r="CS156" s="85"/>
      <c r="CT156" s="85"/>
      <c r="CU156" s="86"/>
    </row>
    <row r="157" spans="1:99" ht="18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CC157" s="55"/>
      <c r="CD157" s="16"/>
      <c r="CE157" s="74"/>
      <c r="CF157" s="74"/>
      <c r="CG157" s="74"/>
      <c r="CH157" s="74"/>
      <c r="CI157" s="277"/>
      <c r="CJ157" s="346"/>
      <c r="CK157" s="146"/>
      <c r="CL157" s="146"/>
      <c r="CM157" s="347"/>
      <c r="CN157" s="43"/>
      <c r="CO157" s="29"/>
      <c r="CP157" s="197"/>
      <c r="CQ157" s="84"/>
      <c r="CS157" s="85"/>
      <c r="CT157" s="85"/>
      <c r="CU157" s="86"/>
    </row>
    <row r="158" spans="1:99" ht="19.5" thickBo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CC158" s="55"/>
      <c r="CD158" s="8"/>
      <c r="CE158" s="68"/>
      <c r="CF158" s="68"/>
      <c r="CG158" s="68"/>
      <c r="CH158" s="68"/>
      <c r="CI158" s="165"/>
      <c r="CJ158" s="280"/>
      <c r="CK158" s="281"/>
      <c r="CL158" s="281"/>
      <c r="CM158" s="282"/>
      <c r="CN158" s="43"/>
      <c r="CO158" s="29"/>
      <c r="CP158" s="197"/>
      <c r="CQ158" s="84"/>
      <c r="CS158" s="85"/>
      <c r="CT158" s="85"/>
      <c r="CU158" s="86"/>
    </row>
    <row r="159" spans="1:99" ht="18.75" customHeight="1" thickBo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CC159" s="55"/>
      <c r="CD159" s="445" t="s">
        <v>48</v>
      </c>
      <c r="CE159" s="446"/>
      <c r="CF159" s="182"/>
      <c r="CG159" s="69"/>
      <c r="CH159" s="69"/>
      <c r="CI159" s="69"/>
      <c r="CJ159" s="348">
        <f>SUM(CJ157:CJ158)</f>
        <v>0</v>
      </c>
      <c r="CK159" s="348">
        <f>SUM(CK157:CK158)</f>
        <v>0</v>
      </c>
      <c r="CL159" s="348">
        <f>SUM(CL157:CL158)</f>
        <v>0</v>
      </c>
      <c r="CM159" s="348">
        <f>SUM(CM157:CM158)</f>
        <v>0</v>
      </c>
      <c r="CN159" s="43"/>
      <c r="CO159" s="29"/>
      <c r="CP159" s="197"/>
      <c r="CQ159" s="84"/>
      <c r="CS159" s="85"/>
      <c r="CT159" s="85"/>
      <c r="CU159" s="86"/>
    </row>
    <row r="160" spans="1:98" ht="18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CC160" s="55"/>
      <c r="CD160" s="447" t="s">
        <v>105</v>
      </c>
      <c r="CE160" s="447"/>
      <c r="CF160" s="447"/>
      <c r="CG160" s="447"/>
      <c r="CH160" s="447"/>
      <c r="CI160" s="447"/>
      <c r="CJ160" s="43"/>
      <c r="CK160" s="43"/>
      <c r="CL160" s="43"/>
      <c r="CM160" s="43"/>
      <c r="CN160" s="43"/>
      <c r="CO160" s="29"/>
      <c r="CP160" s="197"/>
      <c r="CQ160" s="84"/>
      <c r="CS160" s="85"/>
      <c r="CT160" s="86"/>
    </row>
    <row r="161" spans="1:98" ht="18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CC161" s="55"/>
      <c r="CD161" s="51"/>
      <c r="CE161" s="46"/>
      <c r="CF161" s="46"/>
      <c r="CG161" s="46"/>
      <c r="CH161" s="43"/>
      <c r="CI161" s="43"/>
      <c r="CJ161" s="43"/>
      <c r="CK161" s="43"/>
      <c r="CL161" s="43"/>
      <c r="CM161" s="43"/>
      <c r="CN161" s="43"/>
      <c r="CO161" s="29"/>
      <c r="CP161" s="197"/>
      <c r="CQ161" s="84"/>
      <c r="CS161" s="85"/>
      <c r="CT161" s="86"/>
    </row>
    <row r="162" spans="1:98" ht="19.5" thickBo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CC162" s="55"/>
      <c r="CD162" s="48" t="s">
        <v>120</v>
      </c>
      <c r="CE162" s="46"/>
      <c r="CF162" s="46"/>
      <c r="CG162" s="46"/>
      <c r="CH162" s="43"/>
      <c r="CI162" s="43"/>
      <c r="CJ162" s="43"/>
      <c r="CK162" s="43"/>
      <c r="CL162" s="43"/>
      <c r="CM162" s="43"/>
      <c r="CN162" s="43"/>
      <c r="CO162" s="29"/>
      <c r="CP162" s="197"/>
      <c r="CQ162" s="84"/>
      <c r="CS162" s="85"/>
      <c r="CT162" s="86"/>
    </row>
    <row r="163" spans="1:98" ht="19.5" customHeight="1" thickBo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CC163" s="55"/>
      <c r="CD163" s="48"/>
      <c r="CE163" s="46"/>
      <c r="CF163" s="46"/>
      <c r="CG163" s="46"/>
      <c r="CH163" s="43"/>
      <c r="CI163" s="43"/>
      <c r="CJ163" s="43"/>
      <c r="CK163" s="43"/>
      <c r="CL163" s="43"/>
      <c r="CM163" s="43"/>
      <c r="CN163" s="43"/>
      <c r="CO163" s="29"/>
      <c r="CP163" s="197"/>
      <c r="CQ163" s="84"/>
      <c r="CR163" s="173" t="s">
        <v>121</v>
      </c>
      <c r="CS163" s="85"/>
      <c r="CT163" s="86"/>
    </row>
    <row r="164" spans="1:98" ht="19.5" thickBo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CC164" s="55"/>
      <c r="CD164" s="429" t="s">
        <v>122</v>
      </c>
      <c r="CE164" s="429" t="s">
        <v>10</v>
      </c>
      <c r="CF164" s="429" t="s">
        <v>202</v>
      </c>
      <c r="CG164" s="429" t="s">
        <v>123</v>
      </c>
      <c r="CH164" s="327" t="s">
        <v>124</v>
      </c>
      <c r="CI164" s="429" t="s">
        <v>125</v>
      </c>
      <c r="CJ164" s="429" t="s">
        <v>55</v>
      </c>
      <c r="CK164" s="431" t="s">
        <v>43</v>
      </c>
      <c r="CL164" s="432"/>
      <c r="CM164" s="433"/>
      <c r="CN164" s="43"/>
      <c r="CO164" s="29"/>
      <c r="CP164" s="197"/>
      <c r="CQ164" s="84"/>
      <c r="CS164" s="85"/>
      <c r="CT164" s="86"/>
    </row>
    <row r="165" spans="1:99" ht="38.25" thickBo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CC165" s="55"/>
      <c r="CD165" s="430"/>
      <c r="CE165" s="430"/>
      <c r="CF165" s="430"/>
      <c r="CG165" s="430"/>
      <c r="CH165" s="69" t="s">
        <v>126</v>
      </c>
      <c r="CI165" s="430"/>
      <c r="CJ165" s="430"/>
      <c r="CK165" s="3" t="s">
        <v>46</v>
      </c>
      <c r="CL165" s="3" t="s">
        <v>47</v>
      </c>
      <c r="CM165" s="3" t="s">
        <v>127</v>
      </c>
      <c r="CN165" s="43"/>
      <c r="CO165" s="29"/>
      <c r="CP165" s="197"/>
      <c r="CQ165" s="84"/>
      <c r="CS165" s="85"/>
      <c r="CT165" s="86"/>
      <c r="CU165" s="325" t="s">
        <v>239</v>
      </c>
    </row>
    <row r="166" spans="1:99" ht="19.5" thickBo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CC166" s="55"/>
      <c r="CD166" s="12">
        <v>1</v>
      </c>
      <c r="CE166" s="327">
        <v>2</v>
      </c>
      <c r="CF166" s="12">
        <v>3</v>
      </c>
      <c r="CG166" s="2">
        <v>4</v>
      </c>
      <c r="CH166" s="2">
        <v>5</v>
      </c>
      <c r="CI166" s="66">
        <v>6</v>
      </c>
      <c r="CJ166" s="12">
        <v>7</v>
      </c>
      <c r="CK166" s="327">
        <v>8</v>
      </c>
      <c r="CL166" s="12">
        <v>9</v>
      </c>
      <c r="CM166" s="13">
        <v>10</v>
      </c>
      <c r="CN166" s="43"/>
      <c r="CO166" s="29"/>
      <c r="CP166" s="197"/>
      <c r="CQ166" s="84"/>
      <c r="CR166" s="1" t="s">
        <v>8</v>
      </c>
      <c r="CS166" s="85">
        <f>N16</f>
        <v>1064000</v>
      </c>
      <c r="CT166" s="86">
        <f>CS166-CK172</f>
        <v>0</v>
      </c>
      <c r="CU166" s="379"/>
    </row>
    <row r="167" spans="1:99" ht="93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CC167" s="55"/>
      <c r="CD167" s="6">
        <v>1</v>
      </c>
      <c r="CE167" s="67" t="s">
        <v>128</v>
      </c>
      <c r="CF167" s="67" t="s">
        <v>260</v>
      </c>
      <c r="CG167" s="380">
        <f>CJ167/CI167</f>
        <v>45951.55</v>
      </c>
      <c r="CH167" s="381">
        <f>6.100333*1.2</f>
        <v>7.3204</v>
      </c>
      <c r="CI167" s="381">
        <f>CH167*1.038</f>
        <v>7.59858</v>
      </c>
      <c r="CJ167" s="144">
        <f>CK167+CL167+CM167</f>
        <v>349166.53</v>
      </c>
      <c r="CK167" s="145">
        <v>342595.3</v>
      </c>
      <c r="CL167" s="146">
        <v>6571.23</v>
      </c>
      <c r="CM167" s="382"/>
      <c r="CN167" s="383"/>
      <c r="CO167" s="29"/>
      <c r="CP167" s="197"/>
      <c r="CQ167" s="84"/>
      <c r="CR167" s="1" t="s">
        <v>5</v>
      </c>
      <c r="CS167" s="85">
        <f>$D$16</f>
        <v>19968.94</v>
      </c>
      <c r="CT167" s="86">
        <f>CS167-CL172-CM172</f>
        <v>0</v>
      </c>
      <c r="CU167" s="326">
        <f>CJ167-CK167-CL167-CM167</f>
        <v>0</v>
      </c>
    </row>
    <row r="168" spans="1:99" ht="112.5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CC168" s="55"/>
      <c r="CD168" s="16">
        <v>2</v>
      </c>
      <c r="CE168" s="74" t="s">
        <v>129</v>
      </c>
      <c r="CF168" s="438" t="s">
        <v>258</v>
      </c>
      <c r="CG168" s="380">
        <f>CJ168/CI168</f>
        <v>322.6</v>
      </c>
      <c r="CH168" s="384">
        <f>1441.78*1.2</f>
        <v>1730.14</v>
      </c>
      <c r="CI168" s="384">
        <f>CH168*1.038</f>
        <v>1795.89</v>
      </c>
      <c r="CJ168" s="147">
        <f>CK168+CL168+CM168</f>
        <v>579358.55</v>
      </c>
      <c r="CK168" s="49">
        <v>569025.22</v>
      </c>
      <c r="CL168" s="28">
        <v>10333.33</v>
      </c>
      <c r="CM168" s="385"/>
      <c r="CN168" s="383"/>
      <c r="CO168" s="29"/>
      <c r="CP168" s="197"/>
      <c r="CQ168" s="84"/>
      <c r="CS168" s="85"/>
      <c r="CT168" s="86"/>
      <c r="CU168" s="326">
        <f>CJ168-CK168-CL168-CM168</f>
        <v>0</v>
      </c>
    </row>
    <row r="169" spans="1:99" ht="18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CC169" s="55"/>
      <c r="CD169" s="16">
        <v>3</v>
      </c>
      <c r="CE169" s="74" t="s">
        <v>168</v>
      </c>
      <c r="CF169" s="439"/>
      <c r="CG169" s="380">
        <f>CJ169/CI169</f>
        <v>72.23</v>
      </c>
      <c r="CH169" s="384">
        <f>49.6*1.2</f>
        <v>59.52</v>
      </c>
      <c r="CI169" s="384">
        <f>CH169*1.038</f>
        <v>61.78</v>
      </c>
      <c r="CJ169" s="147">
        <f>CK169+CL169+CM169</f>
        <v>4462.6</v>
      </c>
      <c r="CK169" s="49">
        <v>4462.6</v>
      </c>
      <c r="CL169" s="28">
        <v>0</v>
      </c>
      <c r="CM169" s="386"/>
      <c r="CN169" s="383"/>
      <c r="CO169" s="29"/>
      <c r="CP169" s="197"/>
      <c r="CQ169" s="84"/>
      <c r="CR169" s="85" t="s">
        <v>47</v>
      </c>
      <c r="CS169" s="85">
        <f>$E$16</f>
        <v>19968.94</v>
      </c>
      <c r="CT169" s="86">
        <f>CS169-CL172</f>
        <v>0</v>
      </c>
      <c r="CU169" s="326">
        <f>CJ169-CK169-CL169-CM169</f>
        <v>0</v>
      </c>
    </row>
    <row r="170" spans="1:99" ht="150.75" thickBo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CC170" s="55"/>
      <c r="CD170" s="16">
        <v>4</v>
      </c>
      <c r="CE170" s="74" t="s">
        <v>169</v>
      </c>
      <c r="CF170" s="74" t="s">
        <v>259</v>
      </c>
      <c r="CG170" s="380">
        <f>CJ170/CI170</f>
        <v>1757.98</v>
      </c>
      <c r="CH170" s="384">
        <f>(29.82+19.21)*1.2</f>
        <v>58.84</v>
      </c>
      <c r="CI170" s="384">
        <f>CH170*1.038</f>
        <v>61.08</v>
      </c>
      <c r="CJ170" s="147">
        <f>CK170+CL170+CM170</f>
        <v>107377.26</v>
      </c>
      <c r="CK170" s="49">
        <v>105210.6</v>
      </c>
      <c r="CL170" s="28">
        <v>2166.66</v>
      </c>
      <c r="CM170" s="386"/>
      <c r="CN170" s="383"/>
      <c r="CO170" s="29"/>
      <c r="CP170" s="197"/>
      <c r="CQ170" s="84"/>
      <c r="CR170" s="85" t="s">
        <v>159</v>
      </c>
      <c r="CS170" s="85">
        <f>$H$16</f>
        <v>0</v>
      </c>
      <c r="CT170" s="86">
        <f>CS170-CM172</f>
        <v>0</v>
      </c>
      <c r="CU170" s="333">
        <f>CJ170-CK170-CL170-CM170</f>
        <v>0</v>
      </c>
    </row>
    <row r="171" spans="1:99" ht="94.5" thickBo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CC171" s="55"/>
      <c r="CD171" s="8">
        <v>5</v>
      </c>
      <c r="CE171" s="68" t="s">
        <v>235</v>
      </c>
      <c r="CF171" s="68" t="s">
        <v>261</v>
      </c>
      <c r="CG171" s="380">
        <f>165*0.055*12</f>
        <v>108.9</v>
      </c>
      <c r="CH171" s="384">
        <f>395.31*1.2</f>
        <v>474.37</v>
      </c>
      <c r="CI171" s="384">
        <f>CH171*1.038</f>
        <v>492.4</v>
      </c>
      <c r="CJ171" s="148">
        <f>CK171+CL171+CM171</f>
        <v>43604</v>
      </c>
      <c r="CK171" s="149">
        <v>42706.28</v>
      </c>
      <c r="CL171" s="150">
        <v>897.72</v>
      </c>
      <c r="CM171" s="387"/>
      <c r="CN171" s="383"/>
      <c r="CO171" s="29"/>
      <c r="CP171" s="197"/>
      <c r="CQ171" s="84"/>
      <c r="CS171" s="85"/>
      <c r="CT171" s="86"/>
      <c r="CU171" s="129">
        <f>CJ171-CK171-CL171-CM171</f>
        <v>0</v>
      </c>
    </row>
    <row r="172" spans="1:97" ht="19.5" thickBo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CC172" s="55"/>
      <c r="CD172" s="436" t="s">
        <v>48</v>
      </c>
      <c r="CE172" s="437"/>
      <c r="CF172" s="69"/>
      <c r="CG172" s="2" t="s">
        <v>56</v>
      </c>
      <c r="CH172" s="66" t="s">
        <v>56</v>
      </c>
      <c r="CI172" s="66" t="s">
        <v>56</v>
      </c>
      <c r="CJ172" s="388">
        <f>SUM(CJ167:CJ171)</f>
        <v>1083968.94</v>
      </c>
      <c r="CK172" s="388">
        <f>SUM(CK167:CK171)</f>
        <v>1064000</v>
      </c>
      <c r="CL172" s="388">
        <f>SUM(CL167:CL171)</f>
        <v>19968.94</v>
      </c>
      <c r="CM172" s="388">
        <f>SUM(CM167:CM171)</f>
        <v>0</v>
      </c>
      <c r="CN172" s="43"/>
      <c r="CO172" s="29"/>
      <c r="CP172" s="197"/>
      <c r="CQ172" s="84"/>
      <c r="CR172" s="1"/>
      <c r="CS172" s="1"/>
    </row>
    <row r="173" spans="1:98" ht="18.75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CC173" s="55"/>
      <c r="CD173" s="389"/>
      <c r="CE173" s="70"/>
      <c r="CF173" s="185"/>
      <c r="CG173" s="185"/>
      <c r="CH173" s="185"/>
      <c r="CI173" s="390"/>
      <c r="CJ173" s="391"/>
      <c r="CK173" s="391"/>
      <c r="CL173" s="391"/>
      <c r="CM173" s="376"/>
      <c r="CN173" s="43"/>
      <c r="CO173" s="29"/>
      <c r="CP173" s="197"/>
      <c r="CQ173" s="84"/>
      <c r="CS173" s="85"/>
      <c r="CT173" s="86"/>
    </row>
    <row r="174" spans="1:98" ht="18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CC174" s="55"/>
      <c r="CD174" s="440" t="s">
        <v>57</v>
      </c>
      <c r="CE174" s="441"/>
      <c r="CF174" s="441"/>
      <c r="CG174" s="441"/>
      <c r="CH174" s="441"/>
      <c r="CI174" s="441"/>
      <c r="CJ174" s="377"/>
      <c r="CK174" s="377"/>
      <c r="CL174" s="377"/>
      <c r="CM174" s="378"/>
      <c r="CN174" s="43"/>
      <c r="CO174" s="29"/>
      <c r="CP174" s="197"/>
      <c r="CQ174" s="84"/>
      <c r="CS174" s="85"/>
      <c r="CT174" s="86"/>
    </row>
    <row r="175" spans="1:98" ht="19.5" thickBo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CC175" s="55"/>
      <c r="CD175" s="51"/>
      <c r="CE175" s="46"/>
      <c r="CF175" s="46"/>
      <c r="CG175" s="46"/>
      <c r="CH175" s="43"/>
      <c r="CI175" s="43"/>
      <c r="CJ175" s="43"/>
      <c r="CK175" s="43"/>
      <c r="CL175" s="43"/>
      <c r="CM175" s="43"/>
      <c r="CN175" s="43"/>
      <c r="CO175" s="29"/>
      <c r="CP175" s="197"/>
      <c r="CQ175" s="84"/>
      <c r="CS175" s="85"/>
      <c r="CT175" s="86"/>
    </row>
    <row r="176" spans="1:98" ht="19.5" thickBo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CC176" s="55"/>
      <c r="CD176" s="48" t="s">
        <v>130</v>
      </c>
      <c r="CE176" s="46"/>
      <c r="CF176" s="46"/>
      <c r="CG176" s="46"/>
      <c r="CH176" s="43"/>
      <c r="CI176" s="43"/>
      <c r="CJ176" s="43"/>
      <c r="CK176" s="43"/>
      <c r="CL176" s="43"/>
      <c r="CM176" s="43"/>
      <c r="CN176" s="43"/>
      <c r="CO176" s="29"/>
      <c r="CP176" s="197"/>
      <c r="CQ176" s="84"/>
      <c r="CR176" s="173" t="s">
        <v>131</v>
      </c>
      <c r="CS176" s="85"/>
      <c r="CT176" s="86"/>
    </row>
    <row r="177" spans="1:98" ht="18.75" customHeight="1" thickBo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CC177" s="55"/>
      <c r="CD177" s="51"/>
      <c r="CE177" s="46"/>
      <c r="CF177" s="46"/>
      <c r="CG177" s="46"/>
      <c r="CH177" s="43"/>
      <c r="CI177" s="43"/>
      <c r="CJ177" s="43"/>
      <c r="CK177" s="43"/>
      <c r="CL177" s="43"/>
      <c r="CM177" s="43"/>
      <c r="CN177" s="43"/>
      <c r="CO177" s="29"/>
      <c r="CP177" s="197"/>
      <c r="CQ177" s="84"/>
      <c r="CS177" s="85"/>
      <c r="CT177" s="86"/>
    </row>
    <row r="178" spans="1:98" ht="19.5" thickBo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CC178" s="55"/>
      <c r="CD178" s="12" t="s">
        <v>51</v>
      </c>
      <c r="CE178" s="429" t="s">
        <v>10</v>
      </c>
      <c r="CF178" s="429" t="s">
        <v>132</v>
      </c>
      <c r="CG178" s="429" t="s">
        <v>133</v>
      </c>
      <c r="CH178" s="429" t="s">
        <v>134</v>
      </c>
      <c r="CI178" s="442" t="s">
        <v>43</v>
      </c>
      <c r="CJ178" s="443"/>
      <c r="CK178" s="443"/>
      <c r="CL178" s="444"/>
      <c r="CM178" s="43"/>
      <c r="CN178" s="43"/>
      <c r="CO178" s="29"/>
      <c r="CP178" s="197"/>
      <c r="CQ178" s="84"/>
      <c r="CR178" s="85" t="s">
        <v>8</v>
      </c>
      <c r="CS178" s="85">
        <f>N17</f>
        <v>4560</v>
      </c>
      <c r="CT178" s="86">
        <f>CS178-CI183</f>
        <v>0</v>
      </c>
    </row>
    <row r="179" spans="1:98" ht="38.25" thickBo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CC179" s="55"/>
      <c r="CD179" s="3" t="s">
        <v>39</v>
      </c>
      <c r="CE179" s="430"/>
      <c r="CF179" s="430"/>
      <c r="CG179" s="430"/>
      <c r="CH179" s="430"/>
      <c r="CI179" s="183" t="s">
        <v>46</v>
      </c>
      <c r="CJ179" s="54" t="s">
        <v>47</v>
      </c>
      <c r="CK179" s="184" t="s">
        <v>127</v>
      </c>
      <c r="CL179" s="54" t="s">
        <v>220</v>
      </c>
      <c r="CM179" s="43"/>
      <c r="CN179" s="43"/>
      <c r="CO179" s="29"/>
      <c r="CP179" s="197"/>
      <c r="CQ179" s="84"/>
      <c r="CR179" s="85" t="s">
        <v>5</v>
      </c>
      <c r="CS179" s="85">
        <f>D17</f>
        <v>240</v>
      </c>
      <c r="CT179" s="86">
        <f>CS179-CJ183-CK183</f>
        <v>0</v>
      </c>
    </row>
    <row r="180" spans="1:98" ht="19.5" thickBo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CC180" s="55"/>
      <c r="CD180" s="4">
        <v>1</v>
      </c>
      <c r="CE180" s="13">
        <v>2</v>
      </c>
      <c r="CF180" s="13">
        <v>4</v>
      </c>
      <c r="CG180" s="13">
        <v>5</v>
      </c>
      <c r="CH180" s="13">
        <v>6</v>
      </c>
      <c r="CI180" s="5">
        <v>7</v>
      </c>
      <c r="CJ180" s="187">
        <v>8</v>
      </c>
      <c r="CK180" s="187">
        <v>9</v>
      </c>
      <c r="CL180" s="187">
        <v>10</v>
      </c>
      <c r="CM180" s="43"/>
      <c r="CN180" s="43"/>
      <c r="CO180" s="29"/>
      <c r="CP180" s="197"/>
      <c r="CQ180" s="84"/>
      <c r="CS180" s="85"/>
      <c r="CT180" s="86"/>
    </row>
    <row r="181" spans="1:98" ht="18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CC181" s="55"/>
      <c r="CD181" s="6"/>
      <c r="CE181" s="67" t="s">
        <v>249</v>
      </c>
      <c r="CF181" s="67">
        <v>12</v>
      </c>
      <c r="CG181" s="72">
        <f>CH181/CF181</f>
        <v>400</v>
      </c>
      <c r="CH181" s="72">
        <f>CI181+CJ181+CK181+CL181</f>
        <v>4800</v>
      </c>
      <c r="CI181" s="146">
        <v>4560</v>
      </c>
      <c r="CJ181" s="146">
        <v>240</v>
      </c>
      <c r="CK181" s="146"/>
      <c r="CL181" s="347"/>
      <c r="CM181" s="43"/>
      <c r="CN181" s="43"/>
      <c r="CO181" s="29"/>
      <c r="CP181" s="197"/>
      <c r="CQ181" s="84"/>
      <c r="CS181" s="85"/>
      <c r="CT181" s="86"/>
    </row>
    <row r="182" spans="1:117" ht="19.5" thickBo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CC182" s="55"/>
      <c r="CD182" s="8"/>
      <c r="CE182" s="68"/>
      <c r="CF182" s="68"/>
      <c r="CG182" s="68"/>
      <c r="CH182" s="68"/>
      <c r="CI182" s="150"/>
      <c r="CJ182" s="150"/>
      <c r="CK182" s="150"/>
      <c r="CL182" s="166"/>
      <c r="CM182" s="43"/>
      <c r="CN182" s="43"/>
      <c r="CO182" s="29"/>
      <c r="CP182" s="197"/>
      <c r="CQ182" s="84"/>
      <c r="CS182" s="85"/>
      <c r="CT182" s="86"/>
      <c r="DL182" s="29"/>
      <c r="DM182" s="29"/>
    </row>
    <row r="183" spans="1:117" ht="19.5" thickBo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CC183" s="55"/>
      <c r="CD183" s="436" t="s">
        <v>48</v>
      </c>
      <c r="CE183" s="437"/>
      <c r="CF183" s="69" t="s">
        <v>56</v>
      </c>
      <c r="CG183" s="69" t="s">
        <v>56</v>
      </c>
      <c r="CH183" s="69" t="s">
        <v>56</v>
      </c>
      <c r="CI183" s="392">
        <f>SUM(CI181:CI182)</f>
        <v>4560</v>
      </c>
      <c r="CJ183" s="392">
        <f>SUM(CJ181:CJ182)</f>
        <v>240</v>
      </c>
      <c r="CK183" s="392">
        <f>SUM(CK181:CK182)</f>
        <v>0</v>
      </c>
      <c r="CL183" s="392">
        <f>SUM(CL181:CL182)</f>
        <v>0</v>
      </c>
      <c r="CM183" s="43"/>
      <c r="CN183" s="43"/>
      <c r="CO183" s="29"/>
      <c r="CP183" s="197"/>
      <c r="CQ183" s="84"/>
      <c r="CS183" s="85"/>
      <c r="CT183" s="86"/>
      <c r="DL183" s="29"/>
      <c r="DM183" s="29"/>
    </row>
    <row r="184" spans="1:117" ht="18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CC184" s="55"/>
      <c r="CD184" s="48" t="s">
        <v>135</v>
      </c>
      <c r="CE184" s="46"/>
      <c r="CF184" s="46"/>
      <c r="CG184" s="46"/>
      <c r="CH184" s="43"/>
      <c r="CI184" s="43"/>
      <c r="CJ184" s="43"/>
      <c r="CK184" s="43"/>
      <c r="CL184" s="43"/>
      <c r="CM184" s="43"/>
      <c r="CN184" s="43"/>
      <c r="CO184" s="29"/>
      <c r="CP184" s="197"/>
      <c r="CQ184" s="84"/>
      <c r="CS184" s="85"/>
      <c r="CT184" s="86"/>
      <c r="DL184" s="29"/>
      <c r="DM184" s="29"/>
    </row>
    <row r="185" spans="1:117" ht="19.5" thickBo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CC185" s="55"/>
      <c r="CD185" s="48" t="s">
        <v>136</v>
      </c>
      <c r="CE185" s="46"/>
      <c r="CF185" s="46"/>
      <c r="CG185" s="46"/>
      <c r="CH185" s="43"/>
      <c r="CI185" s="43"/>
      <c r="CJ185" s="43"/>
      <c r="CK185" s="43"/>
      <c r="CL185" s="43"/>
      <c r="CM185" s="43"/>
      <c r="CN185" s="43"/>
      <c r="CO185" s="29"/>
      <c r="CP185" s="197"/>
      <c r="CQ185" s="84"/>
      <c r="CS185" s="85"/>
      <c r="CT185" s="86"/>
      <c r="DL185" s="29"/>
      <c r="DM185" s="29"/>
    </row>
    <row r="186" spans="1:118" ht="19.5" customHeight="1" thickBo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CC186" s="55"/>
      <c r="CD186" s="51"/>
      <c r="CE186" s="46"/>
      <c r="CF186" s="46"/>
      <c r="CG186" s="46"/>
      <c r="CH186" s="43"/>
      <c r="CI186" s="43"/>
      <c r="CJ186" s="43"/>
      <c r="CK186" s="43"/>
      <c r="CL186" s="43"/>
      <c r="CM186" s="43"/>
      <c r="CN186" s="43"/>
      <c r="CO186" s="29"/>
      <c r="CP186" s="197"/>
      <c r="CQ186" s="84"/>
      <c r="CR186" s="173" t="s">
        <v>137</v>
      </c>
      <c r="CS186" s="85"/>
      <c r="CT186" s="86"/>
      <c r="DM186" s="29"/>
      <c r="DN186" s="29"/>
    </row>
    <row r="187" spans="1:118" ht="19.5" thickBo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CC187" s="55"/>
      <c r="CD187" s="12" t="s">
        <v>51</v>
      </c>
      <c r="CE187" s="429" t="s">
        <v>26</v>
      </c>
      <c r="CF187" s="429" t="s">
        <v>138</v>
      </c>
      <c r="CG187" s="429" t="s">
        <v>202</v>
      </c>
      <c r="CH187" s="429" t="s">
        <v>139</v>
      </c>
      <c r="CI187" s="429" t="s">
        <v>140</v>
      </c>
      <c r="CJ187" s="431" t="s">
        <v>43</v>
      </c>
      <c r="CK187" s="432"/>
      <c r="CL187" s="432"/>
      <c r="CM187" s="432"/>
      <c r="CN187" s="433"/>
      <c r="CO187" s="29"/>
      <c r="CP187" s="197"/>
      <c r="CQ187" s="84"/>
      <c r="CS187" s="85"/>
      <c r="CT187" s="86"/>
      <c r="DM187" s="43"/>
      <c r="DN187" s="29"/>
    </row>
    <row r="188" spans="1:118" ht="57" thickBo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CC188" s="55"/>
      <c r="CD188" s="3" t="s">
        <v>39</v>
      </c>
      <c r="CE188" s="430"/>
      <c r="CF188" s="430"/>
      <c r="CG188" s="430"/>
      <c r="CH188" s="430"/>
      <c r="CI188" s="430"/>
      <c r="CJ188" s="3" t="s">
        <v>46</v>
      </c>
      <c r="CK188" s="3" t="s">
        <v>47</v>
      </c>
      <c r="CL188" s="3" t="s">
        <v>204</v>
      </c>
      <c r="CM188" s="3" t="s">
        <v>155</v>
      </c>
      <c r="CN188" s="3" t="s">
        <v>198</v>
      </c>
      <c r="CO188" s="29"/>
      <c r="CP188" s="197"/>
      <c r="CQ188" s="84"/>
      <c r="CR188" s="1" t="s">
        <v>8</v>
      </c>
      <c r="CS188" s="85">
        <f>$N$18</f>
        <v>187304.54</v>
      </c>
      <c r="CT188" s="86">
        <f>CS188-CJ225</f>
        <v>0</v>
      </c>
      <c r="DM188" s="43"/>
      <c r="DN188" s="29"/>
    </row>
    <row r="189" spans="1:118" ht="19.5" thickBo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CC189" s="55"/>
      <c r="CD189" s="12">
        <v>1</v>
      </c>
      <c r="CE189" s="327">
        <v>2</v>
      </c>
      <c r="CF189" s="327">
        <v>3</v>
      </c>
      <c r="CG189" s="12">
        <v>4</v>
      </c>
      <c r="CH189" s="327">
        <v>5</v>
      </c>
      <c r="CI189" s="327">
        <v>6</v>
      </c>
      <c r="CJ189" s="12">
        <v>7</v>
      </c>
      <c r="CK189" s="327">
        <v>8</v>
      </c>
      <c r="CL189" s="327">
        <v>9</v>
      </c>
      <c r="CM189" s="12">
        <v>10</v>
      </c>
      <c r="CN189" s="327">
        <v>11</v>
      </c>
      <c r="CO189" s="29"/>
      <c r="CP189" s="197"/>
      <c r="CQ189" s="84"/>
      <c r="CR189" s="1" t="s">
        <v>5</v>
      </c>
      <c r="CS189" s="85">
        <f>$D$18</f>
        <v>137849.72</v>
      </c>
      <c r="CT189" s="86">
        <f>CS189-CK225-CL225-CN225</f>
        <v>0</v>
      </c>
      <c r="CU189" s="325" t="s">
        <v>203</v>
      </c>
      <c r="DM189" s="43"/>
      <c r="DN189" s="29"/>
    </row>
    <row r="190" spans="1:118" ht="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CC190" s="55"/>
      <c r="CD190" s="6">
        <v>1</v>
      </c>
      <c r="CE190" s="67" t="s">
        <v>205</v>
      </c>
      <c r="CF190" s="67"/>
      <c r="CG190" s="67" t="s">
        <v>277</v>
      </c>
      <c r="CH190" s="67">
        <v>12</v>
      </c>
      <c r="CI190" s="138">
        <f>CJ190+CK190+CL190+CM190+CN190</f>
        <v>8570</v>
      </c>
      <c r="CJ190" s="151">
        <v>7450</v>
      </c>
      <c r="CK190" s="15">
        <v>1120</v>
      </c>
      <c r="CL190" s="15"/>
      <c r="CM190" s="155"/>
      <c r="CN190" s="156"/>
      <c r="CO190" s="29"/>
      <c r="CP190" s="197"/>
      <c r="CQ190" s="84"/>
      <c r="CR190" s="1" t="s">
        <v>9</v>
      </c>
      <c r="CS190" s="85">
        <f>$AR$18</f>
        <v>296356.74</v>
      </c>
      <c r="CT190" s="86">
        <f>CS190-CM225</f>
        <v>0</v>
      </c>
      <c r="CU190" s="326">
        <f aca="true" t="shared" si="15" ref="CU190:CU225">CI190-CJ190-CK190-CL190-CM190</f>
        <v>0</v>
      </c>
      <c r="DM190" s="43"/>
      <c r="DN190" s="29"/>
    </row>
    <row r="191" spans="1:118" ht="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CC191" s="55"/>
      <c r="CD191" s="16">
        <v>2</v>
      </c>
      <c r="CE191" s="74" t="s">
        <v>206</v>
      </c>
      <c r="CF191" s="74"/>
      <c r="CG191" s="74" t="s">
        <v>270</v>
      </c>
      <c r="CH191" s="74">
        <v>12</v>
      </c>
      <c r="CI191" s="139">
        <f>CJ191+CK191+CL191+CM191</f>
        <v>70196.35</v>
      </c>
      <c r="CJ191" s="140">
        <v>66697.15</v>
      </c>
      <c r="CK191" s="18">
        <v>3499.2</v>
      </c>
      <c r="CL191" s="18"/>
      <c r="CM191" s="88"/>
      <c r="CN191" s="133"/>
      <c r="CO191" s="29"/>
      <c r="CP191" s="197"/>
      <c r="CQ191" s="84"/>
      <c r="CS191" s="85"/>
      <c r="CT191" s="86"/>
      <c r="CU191" s="326">
        <f t="shared" si="15"/>
        <v>0</v>
      </c>
      <c r="DM191" s="43"/>
      <c r="DN191" s="29"/>
    </row>
    <row r="192" spans="1:118" ht="56.2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CC192" s="55"/>
      <c r="CD192" s="16">
        <v>3</v>
      </c>
      <c r="CE192" s="74" t="s">
        <v>207</v>
      </c>
      <c r="CF192" s="74"/>
      <c r="CG192" s="74" t="s">
        <v>271</v>
      </c>
      <c r="CH192" s="74">
        <v>2</v>
      </c>
      <c r="CI192" s="139">
        <f aca="true" t="shared" si="16" ref="CI192:CI224">CJ192+CK192+CL192+CM192</f>
        <v>10000</v>
      </c>
      <c r="CJ192" s="140">
        <v>7250</v>
      </c>
      <c r="CK192" s="18">
        <v>2750</v>
      </c>
      <c r="CL192" s="18"/>
      <c r="CM192" s="88"/>
      <c r="CN192" s="133"/>
      <c r="CO192" s="29"/>
      <c r="CP192" s="197"/>
      <c r="CQ192" s="84"/>
      <c r="CR192" s="85" t="s">
        <v>47</v>
      </c>
      <c r="CS192" s="85">
        <f>E18</f>
        <v>59835.84</v>
      </c>
      <c r="CT192" s="86">
        <f>CS192-CK225</f>
        <v>0</v>
      </c>
      <c r="CU192" s="326">
        <f t="shared" si="15"/>
        <v>0</v>
      </c>
      <c r="DM192" s="43"/>
      <c r="DN192" s="29"/>
    </row>
    <row r="193" spans="1:118" ht="56.2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CC193" s="55"/>
      <c r="CD193" s="16">
        <v>4</v>
      </c>
      <c r="CE193" s="74" t="s">
        <v>208</v>
      </c>
      <c r="CF193" s="74"/>
      <c r="CG193" s="74" t="s">
        <v>272</v>
      </c>
      <c r="CH193" s="74">
        <v>12</v>
      </c>
      <c r="CI193" s="139">
        <f t="shared" si="16"/>
        <v>20441.16</v>
      </c>
      <c r="CJ193" s="140">
        <v>19419.1</v>
      </c>
      <c r="CK193" s="18">
        <v>1022.06</v>
      </c>
      <c r="CL193" s="18"/>
      <c r="CM193" s="88"/>
      <c r="CN193" s="133"/>
      <c r="CO193" s="29"/>
      <c r="CP193" s="197"/>
      <c r="CQ193" s="84"/>
      <c r="CR193" s="85" t="s">
        <v>161</v>
      </c>
      <c r="CS193" s="85">
        <f>I18</f>
        <v>0</v>
      </c>
      <c r="CT193" s="86"/>
      <c r="CU193" s="326">
        <f t="shared" si="15"/>
        <v>0</v>
      </c>
      <c r="DM193" s="43"/>
      <c r="DN193" s="29"/>
    </row>
    <row r="194" spans="1:118" ht="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CC194" s="55"/>
      <c r="CD194" s="16">
        <v>5</v>
      </c>
      <c r="CE194" s="74" t="s">
        <v>250</v>
      </c>
      <c r="CF194" s="74"/>
      <c r="CG194" s="74" t="s">
        <v>273</v>
      </c>
      <c r="CH194" s="74">
        <v>12</v>
      </c>
      <c r="CI194" s="139">
        <f t="shared" si="16"/>
        <v>24092.16</v>
      </c>
      <c r="CJ194" s="140">
        <v>22887.55</v>
      </c>
      <c r="CK194" s="18">
        <v>1204.61</v>
      </c>
      <c r="CL194" s="18"/>
      <c r="CM194" s="88"/>
      <c r="CN194" s="133"/>
      <c r="CO194" s="29"/>
      <c r="CP194" s="197"/>
      <c r="CQ194" s="84"/>
      <c r="CR194" s="85" t="s">
        <v>167</v>
      </c>
      <c r="CS194" s="85"/>
      <c r="CT194" s="86"/>
      <c r="CU194" s="326">
        <f t="shared" si="15"/>
        <v>0</v>
      </c>
      <c r="DM194" s="43"/>
      <c r="DN194" s="29"/>
    </row>
    <row r="195" spans="1:118" ht="56.2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CC195" s="55"/>
      <c r="CD195" s="16">
        <v>6</v>
      </c>
      <c r="CE195" s="74" t="s">
        <v>224</v>
      </c>
      <c r="CF195" s="74"/>
      <c r="CG195" s="74" t="s">
        <v>274</v>
      </c>
      <c r="CH195" s="74">
        <v>12</v>
      </c>
      <c r="CI195" s="139">
        <f t="shared" si="16"/>
        <v>17400</v>
      </c>
      <c r="CJ195" s="140">
        <v>16609.06</v>
      </c>
      <c r="CK195" s="18">
        <v>790.94</v>
      </c>
      <c r="CL195" s="18"/>
      <c r="CM195" s="88"/>
      <c r="CN195" s="133"/>
      <c r="CO195" s="29"/>
      <c r="CP195" s="197"/>
      <c r="CQ195" s="84"/>
      <c r="CR195" s="85" t="s">
        <v>204</v>
      </c>
      <c r="CS195" s="85">
        <f>G18</f>
        <v>78013.88</v>
      </c>
      <c r="CT195" s="86">
        <f>CL225-CS195</f>
        <v>0</v>
      </c>
      <c r="CU195" s="326">
        <f t="shared" si="15"/>
        <v>0</v>
      </c>
      <c r="DM195" s="43"/>
      <c r="DN195" s="29"/>
    </row>
    <row r="196" spans="1:118" ht="112.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CC196" s="55"/>
      <c r="CD196" s="16">
        <v>7</v>
      </c>
      <c r="CE196" s="74" t="s">
        <v>321</v>
      </c>
      <c r="CF196" s="44"/>
      <c r="CG196" s="74" t="s">
        <v>320</v>
      </c>
      <c r="CH196" s="87">
        <v>1</v>
      </c>
      <c r="CI196" s="139">
        <f t="shared" si="16"/>
        <v>6703</v>
      </c>
      <c r="CJ196" s="141">
        <v>6367.85</v>
      </c>
      <c r="CK196" s="88">
        <v>335.15</v>
      </c>
      <c r="CL196" s="88"/>
      <c r="CM196" s="88"/>
      <c r="CN196" s="133"/>
      <c r="CO196" s="29"/>
      <c r="CP196" s="197"/>
      <c r="CQ196" s="84"/>
      <c r="CS196" s="85"/>
      <c r="CT196" s="86"/>
      <c r="CU196" s="326">
        <f t="shared" si="15"/>
        <v>0</v>
      </c>
      <c r="DM196" s="43"/>
      <c r="DN196" s="29"/>
    </row>
    <row r="197" spans="1:118" ht="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CC197" s="55"/>
      <c r="CD197" s="16">
        <v>8</v>
      </c>
      <c r="CE197" s="74" t="s">
        <v>209</v>
      </c>
      <c r="CF197" s="74"/>
      <c r="CG197" s="74" t="s">
        <v>275</v>
      </c>
      <c r="CH197" s="74">
        <v>13</v>
      </c>
      <c r="CI197" s="139">
        <f t="shared" si="16"/>
        <v>32500</v>
      </c>
      <c r="CJ197" s="140">
        <v>31000</v>
      </c>
      <c r="CK197" s="18">
        <v>1500</v>
      </c>
      <c r="CL197" s="18"/>
      <c r="CM197" s="88"/>
      <c r="CN197" s="133"/>
      <c r="CO197" s="29"/>
      <c r="CP197" s="197"/>
      <c r="CQ197" s="84"/>
      <c r="CS197" s="85"/>
      <c r="CT197" s="86"/>
      <c r="CU197" s="326">
        <f t="shared" si="15"/>
        <v>0</v>
      </c>
      <c r="DM197" s="43"/>
      <c r="DN197" s="29"/>
    </row>
    <row r="198" spans="1:118" ht="150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CC198" s="55"/>
      <c r="CD198" s="16">
        <v>9</v>
      </c>
      <c r="CE198" s="74" t="s">
        <v>210</v>
      </c>
      <c r="CF198" s="44"/>
      <c r="CG198" s="74" t="s">
        <v>276</v>
      </c>
      <c r="CH198" s="393" t="s">
        <v>223</v>
      </c>
      <c r="CI198" s="139">
        <f t="shared" si="16"/>
        <v>8736</v>
      </c>
      <c r="CJ198" s="140">
        <v>8064</v>
      </c>
      <c r="CK198" s="18">
        <v>672</v>
      </c>
      <c r="CL198" s="18"/>
      <c r="CM198" s="88"/>
      <c r="CN198" s="133"/>
      <c r="CO198" s="29"/>
      <c r="CP198" s="197"/>
      <c r="CQ198" s="84"/>
      <c r="CS198" s="85"/>
      <c r="CT198" s="86"/>
      <c r="CU198" s="326">
        <f t="shared" si="15"/>
        <v>0</v>
      </c>
      <c r="DM198" s="43"/>
      <c r="DN198" s="29"/>
    </row>
    <row r="199" spans="1:118" ht="56.2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CC199" s="55"/>
      <c r="CD199" s="16">
        <v>10</v>
      </c>
      <c r="CE199" s="74" t="s">
        <v>211</v>
      </c>
      <c r="CF199" s="44"/>
      <c r="CG199" s="74" t="s">
        <v>268</v>
      </c>
      <c r="CH199" s="87">
        <v>4</v>
      </c>
      <c r="CI199" s="139">
        <f t="shared" si="16"/>
        <v>17570</v>
      </c>
      <c r="CJ199" s="157"/>
      <c r="CK199" s="107"/>
      <c r="CL199" s="18">
        <v>17570</v>
      </c>
      <c r="CM199" s="88"/>
      <c r="CN199" s="133"/>
      <c r="CO199" s="29"/>
      <c r="CP199" s="197"/>
      <c r="CQ199" s="84"/>
      <c r="CS199" s="85"/>
      <c r="CT199" s="86"/>
      <c r="CU199" s="326">
        <f t="shared" si="15"/>
        <v>0</v>
      </c>
      <c r="DM199" s="43"/>
      <c r="DN199" s="29"/>
    </row>
    <row r="200" spans="1:118" ht="56.2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CC200" s="55"/>
      <c r="CD200" s="16">
        <v>11</v>
      </c>
      <c r="CE200" s="74" t="s">
        <v>212</v>
      </c>
      <c r="CF200" s="44"/>
      <c r="CG200" s="74" t="s">
        <v>269</v>
      </c>
      <c r="CH200" s="87">
        <v>12</v>
      </c>
      <c r="CI200" s="139">
        <f t="shared" si="16"/>
        <v>34020</v>
      </c>
      <c r="CJ200" s="141"/>
      <c r="CK200" s="88"/>
      <c r="CL200" s="88">
        <v>34020</v>
      </c>
      <c r="CM200" s="88"/>
      <c r="CN200" s="133"/>
      <c r="CO200" s="29"/>
      <c r="CP200" s="197"/>
      <c r="CQ200" s="84"/>
      <c r="CS200" s="85"/>
      <c r="CT200" s="86"/>
      <c r="CU200" s="326">
        <f t="shared" si="15"/>
        <v>0</v>
      </c>
      <c r="DM200" s="43"/>
      <c r="DN200" s="29"/>
    </row>
    <row r="201" spans="1:118" ht="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CC201" s="55"/>
      <c r="CD201" s="16">
        <v>12</v>
      </c>
      <c r="CE201" s="74" t="s">
        <v>213</v>
      </c>
      <c r="CF201" s="44"/>
      <c r="CG201" s="74" t="s">
        <v>303</v>
      </c>
      <c r="CH201" s="87">
        <v>1</v>
      </c>
      <c r="CI201" s="139">
        <f t="shared" si="16"/>
        <v>12775</v>
      </c>
      <c r="CJ201" s="141"/>
      <c r="CK201" s="88"/>
      <c r="CL201" s="88">
        <v>12775</v>
      </c>
      <c r="CM201" s="88"/>
      <c r="CN201" s="133"/>
      <c r="CO201" s="29"/>
      <c r="CP201" s="197"/>
      <c r="CQ201" s="84"/>
      <c r="CS201" s="85"/>
      <c r="CT201" s="86"/>
      <c r="CU201" s="326">
        <f t="shared" si="15"/>
        <v>0</v>
      </c>
      <c r="DM201" s="43"/>
      <c r="DN201" s="46"/>
    </row>
    <row r="202" spans="1:118" ht="150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CC202" s="55"/>
      <c r="CD202" s="16">
        <v>13</v>
      </c>
      <c r="CE202" s="74" t="s">
        <v>286</v>
      </c>
      <c r="CF202" s="44"/>
      <c r="CG202" s="74" t="s">
        <v>285</v>
      </c>
      <c r="CH202" s="87">
        <v>1</v>
      </c>
      <c r="CI202" s="139">
        <f>CJ202+CK202+CL202+CM202</f>
        <v>4781.88</v>
      </c>
      <c r="CJ202" s="141"/>
      <c r="CK202" s="88">
        <f>4781.88</f>
        <v>4781.88</v>
      </c>
      <c r="CL202" s="88"/>
      <c r="CM202" s="88"/>
      <c r="CN202" s="133"/>
      <c r="CO202" s="29"/>
      <c r="CP202" s="197"/>
      <c r="CQ202" s="84"/>
      <c r="CS202" s="85"/>
      <c r="CT202" s="86"/>
      <c r="CU202" s="326">
        <f t="shared" si="15"/>
        <v>0</v>
      </c>
      <c r="DM202" s="43"/>
      <c r="DN202" s="46"/>
    </row>
    <row r="203" spans="1:118" ht="93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CC203" s="55"/>
      <c r="CD203" s="16">
        <v>14</v>
      </c>
      <c r="CE203" s="74" t="str">
        <f>R6</f>
        <v>Ремонт кровли</v>
      </c>
      <c r="CF203" s="44"/>
      <c r="CG203" s="74" t="s">
        <v>283</v>
      </c>
      <c r="CH203" s="87">
        <v>1</v>
      </c>
      <c r="CI203" s="139">
        <f t="shared" si="16"/>
        <v>296356.74</v>
      </c>
      <c r="CJ203" s="141"/>
      <c r="CK203" s="88"/>
      <c r="CL203" s="88"/>
      <c r="CM203" s="88">
        <f>296356.74</f>
        <v>296356.74</v>
      </c>
      <c r="CN203" s="133"/>
      <c r="CO203" s="29"/>
      <c r="CP203" s="197"/>
      <c r="CQ203" s="84"/>
      <c r="CS203" s="85"/>
      <c r="CT203" s="86"/>
      <c r="CU203" s="326">
        <f t="shared" si="15"/>
        <v>0</v>
      </c>
      <c r="DM203" s="43"/>
      <c r="DN203" s="29"/>
    </row>
    <row r="204" spans="1:118" ht="187.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CC204" s="55"/>
      <c r="CD204" s="16">
        <v>14</v>
      </c>
      <c r="CE204" s="74" t="s">
        <v>214</v>
      </c>
      <c r="CF204" s="44"/>
      <c r="CG204" s="74" t="s">
        <v>297</v>
      </c>
      <c r="CH204" s="87">
        <v>1</v>
      </c>
      <c r="CI204" s="139">
        <f t="shared" si="16"/>
        <v>1559.83</v>
      </c>
      <c r="CJ204" s="141">
        <v>1559.83</v>
      </c>
      <c r="CK204" s="88"/>
      <c r="CL204" s="88"/>
      <c r="CM204" s="88"/>
      <c r="CN204" s="133"/>
      <c r="CO204" s="29"/>
      <c r="CP204" s="197"/>
      <c r="CQ204" s="84"/>
      <c r="CS204" s="85"/>
      <c r="CT204" s="86"/>
      <c r="CU204" s="326">
        <f t="shared" si="15"/>
        <v>0</v>
      </c>
      <c r="DM204" s="43"/>
      <c r="DN204" s="29"/>
    </row>
    <row r="205" spans="1:118" ht="187.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CC205" s="55"/>
      <c r="CD205" s="16">
        <v>15</v>
      </c>
      <c r="CE205" s="74" t="s">
        <v>299</v>
      </c>
      <c r="CF205" s="44"/>
      <c r="CG205" s="74" t="s">
        <v>300</v>
      </c>
      <c r="CH205" s="87">
        <v>2</v>
      </c>
      <c r="CI205" s="139">
        <f t="shared" si="16"/>
        <v>10848.88</v>
      </c>
      <c r="CJ205" s="141"/>
      <c r="CK205" s="88"/>
      <c r="CL205" s="88">
        <v>10848.88</v>
      </c>
      <c r="CM205" s="88"/>
      <c r="CN205" s="133"/>
      <c r="CO205" s="29"/>
      <c r="CP205" s="197"/>
      <c r="CQ205" s="84"/>
      <c r="CS205" s="85"/>
      <c r="CT205" s="86"/>
      <c r="CU205" s="326">
        <f t="shared" si="15"/>
        <v>0</v>
      </c>
      <c r="DM205" s="43"/>
      <c r="DN205" s="29"/>
    </row>
    <row r="206" spans="1:118" ht="56.2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CC206" s="55"/>
      <c r="CD206" s="16">
        <v>16</v>
      </c>
      <c r="CE206" s="74" t="s">
        <v>302</v>
      </c>
      <c r="CF206" s="44"/>
      <c r="CG206" s="74" t="s">
        <v>301</v>
      </c>
      <c r="CH206" s="87">
        <v>1</v>
      </c>
      <c r="CI206" s="139">
        <f t="shared" si="16"/>
        <v>2800</v>
      </c>
      <c r="CJ206" s="141"/>
      <c r="CK206" s="88"/>
      <c r="CL206" s="88">
        <v>2800</v>
      </c>
      <c r="CM206" s="88"/>
      <c r="CN206" s="133"/>
      <c r="CO206" s="29"/>
      <c r="CP206" s="197"/>
      <c r="CQ206" s="84"/>
      <c r="CS206" s="85"/>
      <c r="CT206" s="86"/>
      <c r="CU206" s="326">
        <f t="shared" si="15"/>
        <v>0</v>
      </c>
      <c r="DM206" s="43"/>
      <c r="DN206" s="46"/>
    </row>
    <row r="207" spans="1:118" ht="131.2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CC207" s="55"/>
      <c r="CD207" s="16">
        <v>17</v>
      </c>
      <c r="CE207" s="74" t="s">
        <v>305</v>
      </c>
      <c r="CF207" s="44"/>
      <c r="CG207" s="74" t="s">
        <v>304</v>
      </c>
      <c r="CH207" s="87">
        <v>1</v>
      </c>
      <c r="CI207" s="139">
        <f t="shared" si="16"/>
        <v>1200</v>
      </c>
      <c r="CJ207" s="141"/>
      <c r="CK207" s="88">
        <v>1200</v>
      </c>
      <c r="CL207" s="88"/>
      <c r="CM207" s="88"/>
      <c r="CN207" s="133"/>
      <c r="CO207" s="29"/>
      <c r="CP207" s="197"/>
      <c r="CQ207" s="84"/>
      <c r="CS207" s="85"/>
      <c r="CT207" s="86"/>
      <c r="CU207" s="326">
        <f t="shared" si="15"/>
        <v>0</v>
      </c>
      <c r="DM207" s="43"/>
      <c r="DN207" s="29"/>
    </row>
    <row r="208" spans="1:118" ht="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CC208" s="55"/>
      <c r="CD208" s="16">
        <v>18</v>
      </c>
      <c r="CE208" s="74" t="s">
        <v>319</v>
      </c>
      <c r="CF208" s="44"/>
      <c r="CG208" s="74" t="s">
        <v>318</v>
      </c>
      <c r="CH208" s="87">
        <v>1</v>
      </c>
      <c r="CI208" s="139">
        <f t="shared" si="16"/>
        <v>40960</v>
      </c>
      <c r="CJ208" s="141"/>
      <c r="CK208" s="88">
        <v>40960</v>
      </c>
      <c r="CL208" s="88"/>
      <c r="CM208" s="88"/>
      <c r="CN208" s="133"/>
      <c r="CO208" s="29"/>
      <c r="CP208" s="197"/>
      <c r="CQ208" s="84"/>
      <c r="CS208" s="85"/>
      <c r="CT208" s="86"/>
      <c r="CU208" s="326">
        <f t="shared" si="15"/>
        <v>0</v>
      </c>
      <c r="DM208" s="43"/>
      <c r="DN208" s="29"/>
    </row>
    <row r="209" spans="1:118" ht="18.75" customHeight="1" hidden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CC209" s="55"/>
      <c r="CD209" s="16">
        <v>19</v>
      </c>
      <c r="CE209" s="74"/>
      <c r="CF209" s="44"/>
      <c r="CG209" s="74"/>
      <c r="CH209" s="87">
        <v>1</v>
      </c>
      <c r="CI209" s="139">
        <f t="shared" si="16"/>
        <v>0</v>
      </c>
      <c r="CJ209" s="141"/>
      <c r="CK209" s="88"/>
      <c r="CL209" s="88"/>
      <c r="CM209" s="88"/>
      <c r="CN209" s="133"/>
      <c r="CO209" s="29"/>
      <c r="CP209" s="197"/>
      <c r="CQ209" s="84"/>
      <c r="CS209" s="85"/>
      <c r="CT209" s="86"/>
      <c r="CU209" s="326">
        <f t="shared" si="15"/>
        <v>0</v>
      </c>
      <c r="DM209" s="43"/>
      <c r="DN209" s="29"/>
    </row>
    <row r="210" spans="1:118" ht="18.75" customHeight="1" hidden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CC210" s="55"/>
      <c r="CD210" s="16">
        <v>20</v>
      </c>
      <c r="CE210" s="44"/>
      <c r="CF210" s="44"/>
      <c r="CG210" s="74"/>
      <c r="CH210" s="87">
        <v>1</v>
      </c>
      <c r="CI210" s="139">
        <f t="shared" si="16"/>
        <v>0</v>
      </c>
      <c r="CJ210" s="141"/>
      <c r="CK210" s="88"/>
      <c r="CL210" s="88"/>
      <c r="CM210" s="88"/>
      <c r="CN210" s="133"/>
      <c r="CO210" s="29"/>
      <c r="CP210" s="197"/>
      <c r="CQ210" s="84"/>
      <c r="CS210" s="85"/>
      <c r="CT210" s="86"/>
      <c r="CU210" s="326">
        <f t="shared" si="15"/>
        <v>0</v>
      </c>
      <c r="DM210" s="43"/>
      <c r="DN210" s="46"/>
    </row>
    <row r="211" spans="1:118" ht="18.75" customHeight="1" hidden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CC211" s="55"/>
      <c r="CD211" s="16">
        <v>21</v>
      </c>
      <c r="CE211" s="44"/>
      <c r="CF211" s="44"/>
      <c r="CG211" s="74"/>
      <c r="CH211" s="87"/>
      <c r="CI211" s="139">
        <f t="shared" si="16"/>
        <v>0</v>
      </c>
      <c r="CJ211" s="141"/>
      <c r="CK211" s="88"/>
      <c r="CL211" s="88"/>
      <c r="CM211" s="88"/>
      <c r="CN211" s="133"/>
      <c r="CO211" s="29"/>
      <c r="CP211" s="197"/>
      <c r="CQ211" s="84"/>
      <c r="CS211" s="85"/>
      <c r="CT211" s="86"/>
      <c r="CU211" s="326">
        <f t="shared" si="15"/>
        <v>0</v>
      </c>
      <c r="DM211" s="43"/>
      <c r="DN211" s="29"/>
    </row>
    <row r="212" spans="1:118" ht="18.75" customHeight="1" hidden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CC212" s="55"/>
      <c r="CD212" s="16">
        <v>22</v>
      </c>
      <c r="CE212" s="44"/>
      <c r="CF212" s="44"/>
      <c r="CG212" s="74"/>
      <c r="CH212" s="87"/>
      <c r="CI212" s="139">
        <f t="shared" si="16"/>
        <v>0</v>
      </c>
      <c r="CJ212" s="141"/>
      <c r="CK212" s="88"/>
      <c r="CL212" s="88"/>
      <c r="CM212" s="88"/>
      <c r="CN212" s="133"/>
      <c r="CO212" s="29"/>
      <c r="CP212" s="197"/>
      <c r="CQ212" s="84"/>
      <c r="CS212" s="85"/>
      <c r="CT212" s="86"/>
      <c r="CU212" s="326">
        <f t="shared" si="15"/>
        <v>0</v>
      </c>
      <c r="DM212" s="43"/>
      <c r="DN212" s="46"/>
    </row>
    <row r="213" spans="1:118" ht="18.75" customHeight="1" hidden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CC213" s="55"/>
      <c r="CD213" s="16">
        <v>23</v>
      </c>
      <c r="CE213" s="44"/>
      <c r="CF213" s="44"/>
      <c r="CG213" s="74"/>
      <c r="CH213" s="87"/>
      <c r="CI213" s="139">
        <f t="shared" si="16"/>
        <v>0</v>
      </c>
      <c r="CJ213" s="141"/>
      <c r="CK213" s="88"/>
      <c r="CL213" s="88"/>
      <c r="CM213" s="88"/>
      <c r="CN213" s="133"/>
      <c r="CO213" s="29"/>
      <c r="CP213" s="197"/>
      <c r="CQ213" s="84"/>
      <c r="CS213" s="85"/>
      <c r="CT213" s="86"/>
      <c r="CU213" s="326">
        <f t="shared" si="15"/>
        <v>0</v>
      </c>
      <c r="DM213" s="43"/>
      <c r="DN213" s="46"/>
    </row>
    <row r="214" spans="1:118" ht="18.75" customHeight="1" hidden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CC214" s="55"/>
      <c r="CD214" s="16">
        <v>24</v>
      </c>
      <c r="CE214" s="44"/>
      <c r="CF214" s="44"/>
      <c r="CG214" s="74"/>
      <c r="CH214" s="87"/>
      <c r="CI214" s="139">
        <f t="shared" si="16"/>
        <v>0</v>
      </c>
      <c r="CJ214" s="141"/>
      <c r="CK214" s="88"/>
      <c r="CL214" s="88"/>
      <c r="CM214" s="88"/>
      <c r="CN214" s="133"/>
      <c r="CO214" s="29"/>
      <c r="CP214" s="197"/>
      <c r="CQ214" s="84"/>
      <c r="CS214" s="85"/>
      <c r="CT214" s="86"/>
      <c r="CU214" s="326">
        <f t="shared" si="15"/>
        <v>0</v>
      </c>
      <c r="DM214" s="29"/>
      <c r="DN214" s="29"/>
    </row>
    <row r="215" spans="1:118" ht="18.75" customHeight="1" hidden="1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CC215" s="55"/>
      <c r="CD215" s="16">
        <v>25</v>
      </c>
      <c r="CE215" s="44"/>
      <c r="CF215" s="44"/>
      <c r="CG215" s="74"/>
      <c r="CH215" s="87"/>
      <c r="CI215" s="139">
        <f t="shared" si="16"/>
        <v>0</v>
      </c>
      <c r="CJ215" s="141"/>
      <c r="CK215" s="88"/>
      <c r="CL215" s="88"/>
      <c r="CM215" s="88"/>
      <c r="CN215" s="133"/>
      <c r="CO215" s="29"/>
      <c r="CP215" s="197"/>
      <c r="CQ215" s="84"/>
      <c r="CS215" s="85"/>
      <c r="CT215" s="86"/>
      <c r="CU215" s="326">
        <f t="shared" si="15"/>
        <v>0</v>
      </c>
      <c r="DM215" s="29"/>
      <c r="DN215" s="29"/>
    </row>
    <row r="216" spans="1:118" ht="18.75" customHeight="1" hidden="1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CC216" s="55"/>
      <c r="CD216" s="16">
        <v>26</v>
      </c>
      <c r="CE216" s="44"/>
      <c r="CF216" s="44"/>
      <c r="CG216" s="74"/>
      <c r="CH216" s="87"/>
      <c r="CI216" s="139">
        <f t="shared" si="16"/>
        <v>0</v>
      </c>
      <c r="CJ216" s="141"/>
      <c r="CK216" s="88"/>
      <c r="CL216" s="88"/>
      <c r="CM216" s="88"/>
      <c r="CN216" s="133"/>
      <c r="CO216" s="29"/>
      <c r="CP216" s="197"/>
      <c r="CQ216" s="84"/>
      <c r="CS216" s="85"/>
      <c r="CT216" s="86"/>
      <c r="CU216" s="326">
        <f t="shared" si="15"/>
        <v>0</v>
      </c>
      <c r="DM216" s="29"/>
      <c r="DN216" s="29"/>
    </row>
    <row r="217" spans="1:118" ht="18.75" customHeight="1" hidden="1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CC217" s="55"/>
      <c r="CD217" s="16">
        <v>27</v>
      </c>
      <c r="CE217" s="44"/>
      <c r="CF217" s="44"/>
      <c r="CG217" s="74"/>
      <c r="CH217" s="87"/>
      <c r="CI217" s="139">
        <f t="shared" si="16"/>
        <v>0</v>
      </c>
      <c r="CJ217" s="141"/>
      <c r="CK217" s="88"/>
      <c r="CL217" s="88"/>
      <c r="CM217" s="88"/>
      <c r="CN217" s="133"/>
      <c r="CO217" s="29"/>
      <c r="CP217" s="197"/>
      <c r="CQ217" s="84"/>
      <c r="CS217" s="85"/>
      <c r="CT217" s="86"/>
      <c r="CU217" s="326">
        <f t="shared" si="15"/>
        <v>0</v>
      </c>
      <c r="DM217" s="29"/>
      <c r="DN217" s="29"/>
    </row>
    <row r="218" spans="1:118" ht="18.75" customHeight="1" hidden="1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CC218" s="55"/>
      <c r="CD218" s="16">
        <v>28</v>
      </c>
      <c r="CE218" s="44"/>
      <c r="CF218" s="44"/>
      <c r="CG218" s="74"/>
      <c r="CH218" s="87"/>
      <c r="CI218" s="139">
        <f t="shared" si="16"/>
        <v>0</v>
      </c>
      <c r="CJ218" s="141"/>
      <c r="CK218" s="88"/>
      <c r="CL218" s="88"/>
      <c r="CM218" s="88"/>
      <c r="CN218" s="133"/>
      <c r="CO218" s="29"/>
      <c r="CP218" s="197"/>
      <c r="CQ218" s="84"/>
      <c r="CS218" s="85"/>
      <c r="CT218" s="86"/>
      <c r="CU218" s="326">
        <f t="shared" si="15"/>
        <v>0</v>
      </c>
      <c r="DM218" s="29"/>
      <c r="DN218" s="29"/>
    </row>
    <row r="219" spans="1:99" ht="18.75" customHeight="1" hidden="1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CC219" s="55"/>
      <c r="CD219" s="16">
        <v>29</v>
      </c>
      <c r="CE219" s="44"/>
      <c r="CF219" s="44"/>
      <c r="CG219" s="74"/>
      <c r="CH219" s="87"/>
      <c r="CI219" s="139">
        <f t="shared" si="16"/>
        <v>0</v>
      </c>
      <c r="CJ219" s="141"/>
      <c r="CK219" s="88"/>
      <c r="CL219" s="88"/>
      <c r="CM219" s="88"/>
      <c r="CN219" s="133"/>
      <c r="CO219" s="29"/>
      <c r="CP219" s="197"/>
      <c r="CQ219" s="84"/>
      <c r="CS219" s="85"/>
      <c r="CT219" s="86"/>
      <c r="CU219" s="326">
        <f t="shared" si="15"/>
        <v>0</v>
      </c>
    </row>
    <row r="220" spans="1:99" ht="18.75" customHeight="1" hidden="1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CC220" s="55"/>
      <c r="CD220" s="16">
        <v>30</v>
      </c>
      <c r="CE220" s="44"/>
      <c r="CF220" s="44"/>
      <c r="CG220" s="74"/>
      <c r="CH220" s="87"/>
      <c r="CI220" s="139">
        <f t="shared" si="16"/>
        <v>0</v>
      </c>
      <c r="CJ220" s="141"/>
      <c r="CK220" s="88"/>
      <c r="CL220" s="88"/>
      <c r="CM220" s="88"/>
      <c r="CN220" s="133"/>
      <c r="CO220" s="29"/>
      <c r="CP220" s="197"/>
      <c r="CQ220" s="84"/>
      <c r="CS220" s="85"/>
      <c r="CT220" s="86"/>
      <c r="CU220" s="326">
        <f t="shared" si="15"/>
        <v>0</v>
      </c>
    </row>
    <row r="221" spans="1:99" ht="18.75" customHeight="1" hidden="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CC221" s="55"/>
      <c r="CD221" s="16">
        <v>31</v>
      </c>
      <c r="CE221" s="44"/>
      <c r="CF221" s="44"/>
      <c r="CG221" s="74"/>
      <c r="CH221" s="87"/>
      <c r="CI221" s="139">
        <f t="shared" si="16"/>
        <v>0</v>
      </c>
      <c r="CJ221" s="141"/>
      <c r="CK221" s="88"/>
      <c r="CL221" s="88"/>
      <c r="CM221" s="88"/>
      <c r="CN221" s="133"/>
      <c r="CO221" s="29"/>
      <c r="CP221" s="197"/>
      <c r="CQ221" s="84"/>
      <c r="CS221" s="85"/>
      <c r="CT221" s="86"/>
      <c r="CU221" s="326">
        <f t="shared" si="15"/>
        <v>0</v>
      </c>
    </row>
    <row r="222" spans="1:99" ht="18.75" customHeight="1" hidden="1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CC222" s="55"/>
      <c r="CD222" s="16">
        <v>32</v>
      </c>
      <c r="CE222" s="44"/>
      <c r="CF222" s="44"/>
      <c r="CG222" s="74"/>
      <c r="CH222" s="87"/>
      <c r="CI222" s="139">
        <f t="shared" si="16"/>
        <v>0</v>
      </c>
      <c r="CJ222" s="141"/>
      <c r="CK222" s="88"/>
      <c r="CL222" s="88"/>
      <c r="CM222" s="88"/>
      <c r="CN222" s="133"/>
      <c r="CO222" s="29"/>
      <c r="CP222" s="197"/>
      <c r="CQ222" s="84"/>
      <c r="CS222" s="85"/>
      <c r="CT222" s="86"/>
      <c r="CU222" s="326">
        <f t="shared" si="15"/>
        <v>0</v>
      </c>
    </row>
    <row r="223" spans="1:99" ht="19.5" customHeight="1" hidden="1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CC223" s="55"/>
      <c r="CD223" s="16">
        <v>33</v>
      </c>
      <c r="CE223" s="44"/>
      <c r="CF223" s="44"/>
      <c r="CG223" s="74"/>
      <c r="CH223" s="87"/>
      <c r="CI223" s="139">
        <f t="shared" si="16"/>
        <v>0</v>
      </c>
      <c r="CJ223" s="141"/>
      <c r="CK223" s="88"/>
      <c r="CL223" s="88"/>
      <c r="CM223" s="88"/>
      <c r="CN223" s="133"/>
      <c r="CO223" s="29"/>
      <c r="CP223" s="197"/>
      <c r="CQ223" s="84"/>
      <c r="CS223" s="85"/>
      <c r="CT223" s="86"/>
      <c r="CU223" s="326">
        <f t="shared" si="15"/>
        <v>0</v>
      </c>
    </row>
    <row r="224" spans="81:99" ht="19.5" hidden="1" thickBot="1">
      <c r="CC224" s="55"/>
      <c r="CD224" s="394"/>
      <c r="CE224" s="395"/>
      <c r="CF224" s="396"/>
      <c r="CG224" s="68"/>
      <c r="CH224" s="397"/>
      <c r="CI224" s="153">
        <f t="shared" si="16"/>
        <v>0</v>
      </c>
      <c r="CJ224" s="158"/>
      <c r="CK224" s="134"/>
      <c r="CL224" s="134"/>
      <c r="CM224" s="134"/>
      <c r="CN224" s="159"/>
      <c r="CO224" s="29"/>
      <c r="CP224" s="197"/>
      <c r="CQ224" s="84"/>
      <c r="CS224" s="85"/>
      <c r="CT224" s="86"/>
      <c r="CU224" s="326">
        <f t="shared" si="15"/>
        <v>0</v>
      </c>
    </row>
    <row r="225" spans="81:99" ht="19.5" thickBot="1">
      <c r="CC225" s="55"/>
      <c r="CD225" s="436" t="s">
        <v>48</v>
      </c>
      <c r="CE225" s="437"/>
      <c r="CF225" s="69" t="s">
        <v>56</v>
      </c>
      <c r="CG225" s="69"/>
      <c r="CH225" s="69" t="s">
        <v>56</v>
      </c>
      <c r="CI225" s="388">
        <f aca="true" t="shared" si="17" ref="CI225:CN225">SUM(CI190:CI224)</f>
        <v>621511</v>
      </c>
      <c r="CJ225" s="388">
        <f t="shared" si="17"/>
        <v>187304.54</v>
      </c>
      <c r="CK225" s="388">
        <f t="shared" si="17"/>
        <v>59835.84</v>
      </c>
      <c r="CL225" s="388">
        <f t="shared" si="17"/>
        <v>78013.88</v>
      </c>
      <c r="CM225" s="388">
        <f t="shared" si="17"/>
        <v>296356.74</v>
      </c>
      <c r="CN225" s="388">
        <f t="shared" si="17"/>
        <v>0</v>
      </c>
      <c r="CO225" s="29"/>
      <c r="CP225" s="197"/>
      <c r="CQ225" s="84"/>
      <c r="CS225" s="85"/>
      <c r="CT225" s="86"/>
      <c r="CU225" s="333">
        <f t="shared" si="15"/>
        <v>0</v>
      </c>
    </row>
    <row r="226" spans="81:98" ht="18.75">
      <c r="CC226" s="55"/>
      <c r="CD226" s="51"/>
      <c r="CE226" s="46"/>
      <c r="CF226" s="46"/>
      <c r="CG226" s="46"/>
      <c r="CH226" s="43"/>
      <c r="CI226" s="43"/>
      <c r="CJ226" s="43"/>
      <c r="CK226" s="43"/>
      <c r="CL226" s="43"/>
      <c r="CM226" s="43"/>
      <c r="CN226" s="43"/>
      <c r="CO226" s="29"/>
      <c r="CP226" s="197"/>
      <c r="CQ226" s="84"/>
      <c r="CS226" s="85"/>
      <c r="CT226" s="86"/>
    </row>
    <row r="227" spans="81:98" ht="19.5" thickBot="1">
      <c r="CC227" s="55"/>
      <c r="CD227" s="48" t="s">
        <v>141</v>
      </c>
      <c r="CE227" s="46"/>
      <c r="CF227" s="46"/>
      <c r="CG227" s="46"/>
      <c r="CH227" s="43"/>
      <c r="CI227" s="43"/>
      <c r="CJ227" s="43"/>
      <c r="CK227" s="43"/>
      <c r="CL227" s="43"/>
      <c r="CM227" s="43"/>
      <c r="CN227" s="43"/>
      <c r="CO227" s="29"/>
      <c r="CP227" s="197"/>
      <c r="CQ227" s="84"/>
      <c r="CS227" s="85"/>
      <c r="CT227" s="86"/>
    </row>
    <row r="228" spans="81:98" ht="19.5" customHeight="1" thickBot="1">
      <c r="CC228" s="55"/>
      <c r="CD228" s="51"/>
      <c r="CE228" s="46"/>
      <c r="CF228" s="46"/>
      <c r="CG228" s="46"/>
      <c r="CH228" s="43"/>
      <c r="CI228" s="43"/>
      <c r="CJ228" s="43"/>
      <c r="CK228" s="43"/>
      <c r="CL228" s="43"/>
      <c r="CM228" s="43"/>
      <c r="CN228" s="43"/>
      <c r="CO228" s="29"/>
      <c r="CP228" s="197"/>
      <c r="CQ228" s="84"/>
      <c r="CR228" s="173" t="s">
        <v>142</v>
      </c>
      <c r="CS228" s="85"/>
      <c r="CT228" s="86"/>
    </row>
    <row r="229" spans="1:99" ht="19.5" thickBot="1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CC229" s="55"/>
      <c r="CD229" s="12" t="s">
        <v>51</v>
      </c>
      <c r="CE229" s="429" t="s">
        <v>26</v>
      </c>
      <c r="CF229" s="429" t="s">
        <v>202</v>
      </c>
      <c r="CG229" s="429" t="s">
        <v>143</v>
      </c>
      <c r="CH229" s="429" t="s">
        <v>215</v>
      </c>
      <c r="CI229" s="429" t="s">
        <v>144</v>
      </c>
      <c r="CJ229" s="431" t="s">
        <v>43</v>
      </c>
      <c r="CK229" s="432"/>
      <c r="CL229" s="432"/>
      <c r="CM229" s="432"/>
      <c r="CN229" s="433"/>
      <c r="CO229" s="29"/>
      <c r="CP229" s="197"/>
      <c r="CQ229" s="84"/>
      <c r="CS229" s="85"/>
      <c r="CU229" s="86"/>
    </row>
    <row r="230" spans="1:98" ht="38.25" thickBot="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CC230" s="55"/>
      <c r="CD230" s="3" t="s">
        <v>39</v>
      </c>
      <c r="CE230" s="430"/>
      <c r="CF230" s="430"/>
      <c r="CG230" s="430"/>
      <c r="CH230" s="430"/>
      <c r="CI230" s="430"/>
      <c r="CJ230" s="3" t="s">
        <v>46</v>
      </c>
      <c r="CK230" s="3" t="s">
        <v>47</v>
      </c>
      <c r="CL230" s="3" t="s">
        <v>204</v>
      </c>
      <c r="CM230" s="398" t="s">
        <v>220</v>
      </c>
      <c r="CN230" s="399" t="s">
        <v>240</v>
      </c>
      <c r="CO230" s="29"/>
      <c r="CP230" s="197"/>
      <c r="CQ230" s="84"/>
      <c r="CR230" s="1" t="s">
        <v>8</v>
      </c>
      <c r="CS230" s="85">
        <f>$N$19+N20</f>
        <v>760920.8</v>
      </c>
      <c r="CT230" s="86">
        <f>CS230-CJ284</f>
        <v>0</v>
      </c>
    </row>
    <row r="231" spans="1:99" ht="19.5" thickBot="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CC231" s="55"/>
      <c r="CD231" s="12">
        <v>1</v>
      </c>
      <c r="CE231" s="12">
        <v>2</v>
      </c>
      <c r="CF231" s="12">
        <v>3</v>
      </c>
      <c r="CG231" s="12">
        <v>4</v>
      </c>
      <c r="CH231" s="12">
        <v>5</v>
      </c>
      <c r="CI231" s="12">
        <v>6</v>
      </c>
      <c r="CJ231" s="12">
        <v>7</v>
      </c>
      <c r="CK231" s="12">
        <v>8</v>
      </c>
      <c r="CL231" s="12">
        <v>9</v>
      </c>
      <c r="CM231" s="350">
        <v>10</v>
      </c>
      <c r="CN231" s="350">
        <v>11</v>
      </c>
      <c r="CO231" s="29"/>
      <c r="CP231" s="197"/>
      <c r="CQ231" s="84"/>
      <c r="CR231" s="1" t="s">
        <v>5</v>
      </c>
      <c r="CS231" s="85">
        <f>$E$19+F19+G19</f>
        <v>89632.35</v>
      </c>
      <c r="CT231" s="86">
        <f>CS231-CK284-CL284-CN284</f>
        <v>0</v>
      </c>
      <c r="CU231" s="325" t="s">
        <v>203</v>
      </c>
    </row>
    <row r="232" spans="81:99" ht="187.5">
      <c r="CC232" s="55"/>
      <c r="CD232" s="6">
        <v>1</v>
      </c>
      <c r="CE232" s="67" t="s">
        <v>216</v>
      </c>
      <c r="CF232" s="67" t="s">
        <v>314</v>
      </c>
      <c r="CG232" s="67">
        <v>2</v>
      </c>
      <c r="CH232" s="72">
        <f>CI232</f>
        <v>31517.35</v>
      </c>
      <c r="CI232" s="400">
        <f>CJ232+CK232+CL232+CM232</f>
        <v>31517.35</v>
      </c>
      <c r="CJ232" s="160">
        <f>20900.02+9517.33</f>
        <v>30417.35</v>
      </c>
      <c r="CK232" s="95">
        <v>1100</v>
      </c>
      <c r="CL232" s="95"/>
      <c r="CM232" s="161"/>
      <c r="CN232" s="162"/>
      <c r="CO232" s="29"/>
      <c r="CP232" s="197"/>
      <c r="CQ232" s="84"/>
      <c r="CR232" s="85" t="s">
        <v>9</v>
      </c>
      <c r="CS232" s="85">
        <f>AR19</f>
        <v>28118</v>
      </c>
      <c r="CT232" s="86">
        <f>CS232-CM284</f>
        <v>0</v>
      </c>
      <c r="CU232" s="326">
        <f aca="true" t="shared" si="18" ref="CU232:CU283">CI232-CJ232-CK232-CL232-CM232</f>
        <v>0</v>
      </c>
    </row>
    <row r="233" spans="81:99" ht="93.75">
      <c r="CC233" s="55"/>
      <c r="CD233" s="16">
        <v>2</v>
      </c>
      <c r="CE233" s="74" t="s">
        <v>236</v>
      </c>
      <c r="CF233" s="74" t="s">
        <v>263</v>
      </c>
      <c r="CG233" s="74">
        <v>1</v>
      </c>
      <c r="CH233" s="76">
        <f aca="true" t="shared" si="19" ref="CH233:CH259">CI233</f>
        <v>550</v>
      </c>
      <c r="CI233" s="401">
        <f aca="true" t="shared" si="20" ref="CI233:CI245">CJ233+CK233+CL233+CM233+CN233</f>
        <v>550</v>
      </c>
      <c r="CJ233" s="163">
        <v>522.5</v>
      </c>
      <c r="CK233" s="91">
        <v>27.5</v>
      </c>
      <c r="CL233" s="91"/>
      <c r="CM233" s="109"/>
      <c r="CN233" s="142"/>
      <c r="CO233" s="29"/>
      <c r="CP233" s="197"/>
      <c r="CQ233" s="84"/>
      <c r="CR233" s="85" t="s">
        <v>47</v>
      </c>
      <c r="CS233" s="85">
        <f>E19</f>
        <v>69832.35</v>
      </c>
      <c r="CT233" s="86">
        <f>CS233-CK284</f>
        <v>0</v>
      </c>
      <c r="CU233" s="326">
        <f t="shared" si="18"/>
        <v>0</v>
      </c>
    </row>
    <row r="234" spans="81:99" ht="131.25">
      <c r="CC234" s="55"/>
      <c r="CD234" s="16">
        <v>3</v>
      </c>
      <c r="CE234" s="74" t="s">
        <v>163</v>
      </c>
      <c r="CF234" s="74" t="s">
        <v>267</v>
      </c>
      <c r="CG234" s="74">
        <v>12</v>
      </c>
      <c r="CH234" s="76">
        <f t="shared" si="19"/>
        <v>37877.2</v>
      </c>
      <c r="CI234" s="401">
        <f t="shared" si="20"/>
        <v>37877.2</v>
      </c>
      <c r="CJ234" s="163">
        <v>35900.08</v>
      </c>
      <c r="CK234" s="91">
        <v>1977.12</v>
      </c>
      <c r="CL234" s="91"/>
      <c r="CM234" s="109"/>
      <c r="CN234" s="142"/>
      <c r="CO234" s="29"/>
      <c r="CP234" s="197"/>
      <c r="CQ234" s="84"/>
      <c r="CR234" s="85" t="s">
        <v>204</v>
      </c>
      <c r="CS234" s="85">
        <f>G19</f>
        <v>19800</v>
      </c>
      <c r="CT234" s="86">
        <f>CL284-CS234</f>
        <v>0</v>
      </c>
      <c r="CU234" s="326">
        <f t="shared" si="18"/>
        <v>0</v>
      </c>
    </row>
    <row r="235" spans="81:99" ht="75">
      <c r="CC235" s="55"/>
      <c r="CD235" s="16">
        <v>4</v>
      </c>
      <c r="CE235" s="74" t="s">
        <v>307</v>
      </c>
      <c r="CF235" s="74" t="s">
        <v>306</v>
      </c>
      <c r="CG235" s="74">
        <v>1</v>
      </c>
      <c r="CH235" s="76">
        <f t="shared" si="19"/>
        <v>15000</v>
      </c>
      <c r="CI235" s="401">
        <f t="shared" si="20"/>
        <v>15000</v>
      </c>
      <c r="CJ235" s="163"/>
      <c r="CK235" s="91"/>
      <c r="CL235" s="91">
        <v>15000</v>
      </c>
      <c r="CM235" s="109"/>
      <c r="CN235" s="142"/>
      <c r="CO235" s="29"/>
      <c r="CP235" s="197"/>
      <c r="CQ235" s="84"/>
      <c r="CS235" s="85"/>
      <c r="CU235" s="326">
        <f t="shared" si="18"/>
        <v>0</v>
      </c>
    </row>
    <row r="236" spans="81:99" ht="131.25">
      <c r="CC236" s="55"/>
      <c r="CD236" s="16">
        <v>5</v>
      </c>
      <c r="CE236" s="74" t="s">
        <v>217</v>
      </c>
      <c r="CF236" s="74" t="s">
        <v>262</v>
      </c>
      <c r="CG236" s="152">
        <v>1</v>
      </c>
      <c r="CH236" s="76">
        <f t="shared" si="19"/>
        <v>23132.77</v>
      </c>
      <c r="CI236" s="401">
        <f t="shared" si="20"/>
        <v>23132.77</v>
      </c>
      <c r="CJ236" s="164"/>
      <c r="CK236" s="108">
        <v>23132.77</v>
      </c>
      <c r="CL236" s="108"/>
      <c r="CM236" s="109"/>
      <c r="CN236" s="142"/>
      <c r="CO236" s="29"/>
      <c r="CP236" s="197"/>
      <c r="CQ236" s="84"/>
      <c r="CS236" s="85"/>
      <c r="CU236" s="326">
        <f t="shared" si="18"/>
        <v>0</v>
      </c>
    </row>
    <row r="237" spans="81:99" ht="93.75">
      <c r="CC237" s="55"/>
      <c r="CD237" s="402">
        <v>6</v>
      </c>
      <c r="CE237" s="74" t="s">
        <v>247</v>
      </c>
      <c r="CF237" s="74" t="s">
        <v>264</v>
      </c>
      <c r="CG237" s="152">
        <v>1</v>
      </c>
      <c r="CH237" s="76">
        <f t="shared" si="19"/>
        <v>626148.74</v>
      </c>
      <c r="CI237" s="401">
        <f t="shared" si="20"/>
        <v>626148.74</v>
      </c>
      <c r="CJ237" s="164">
        <v>610932.74</v>
      </c>
      <c r="CK237" s="108">
        <v>15216</v>
      </c>
      <c r="CL237" s="108"/>
      <c r="CM237" s="109"/>
      <c r="CN237" s="142"/>
      <c r="CO237" s="29"/>
      <c r="CP237" s="197"/>
      <c r="CQ237" s="84"/>
      <c r="CR237" s="85" t="s">
        <v>315</v>
      </c>
      <c r="CS237" s="85">
        <f>O43</f>
        <v>54700</v>
      </c>
      <c r="CT237" s="104">
        <f>CS237-CJ238-CJ239-CJ244-CJ245-CJ246</f>
        <v>0</v>
      </c>
      <c r="CU237" s="326">
        <f t="shared" si="18"/>
        <v>0</v>
      </c>
    </row>
    <row r="238" spans="81:99" ht="75">
      <c r="CC238" s="55"/>
      <c r="CD238" s="402">
        <v>7</v>
      </c>
      <c r="CE238" s="241" t="s">
        <v>266</v>
      </c>
      <c r="CF238" s="74" t="s">
        <v>265</v>
      </c>
      <c r="CG238" s="152">
        <v>2</v>
      </c>
      <c r="CH238" s="76">
        <f t="shared" si="19"/>
        <v>9000</v>
      </c>
      <c r="CI238" s="401">
        <f t="shared" si="20"/>
        <v>9000</v>
      </c>
      <c r="CJ238" s="164">
        <f>4500*2</f>
        <v>9000</v>
      </c>
      <c r="CK238" s="108"/>
      <c r="CL238" s="108"/>
      <c r="CM238" s="109"/>
      <c r="CN238" s="142"/>
      <c r="CO238" s="29"/>
      <c r="CP238" s="197"/>
      <c r="CQ238" s="84"/>
      <c r="CS238" s="85"/>
      <c r="CU238" s="326">
        <f t="shared" si="18"/>
        <v>0</v>
      </c>
    </row>
    <row r="239" spans="81:99" ht="75">
      <c r="CC239" s="55"/>
      <c r="CD239" s="402">
        <v>8</v>
      </c>
      <c r="CE239" s="241" t="s">
        <v>280</v>
      </c>
      <c r="CF239" s="74" t="s">
        <v>316</v>
      </c>
      <c r="CG239" s="152">
        <v>1</v>
      </c>
      <c r="CH239" s="76">
        <f t="shared" si="19"/>
        <v>9000</v>
      </c>
      <c r="CI239" s="401">
        <f t="shared" si="20"/>
        <v>9000</v>
      </c>
      <c r="CJ239" s="164">
        <v>9000</v>
      </c>
      <c r="CK239" s="108"/>
      <c r="CL239" s="108"/>
      <c r="CM239" s="109"/>
      <c r="CN239" s="142"/>
      <c r="CO239" s="29"/>
      <c r="CP239" s="197"/>
      <c r="CQ239" s="84"/>
      <c r="CS239" s="85"/>
      <c r="CU239" s="326">
        <f t="shared" si="18"/>
        <v>0</v>
      </c>
    </row>
    <row r="240" spans="81:99" ht="168.75">
      <c r="CC240" s="55"/>
      <c r="CD240" s="402">
        <v>9</v>
      </c>
      <c r="CE240" s="241" t="s">
        <v>279</v>
      </c>
      <c r="CF240" s="74" t="s">
        <v>289</v>
      </c>
      <c r="CG240" s="152">
        <v>1</v>
      </c>
      <c r="CH240" s="76">
        <f t="shared" si="19"/>
        <v>10450</v>
      </c>
      <c r="CI240" s="401">
        <f t="shared" si="20"/>
        <v>10450</v>
      </c>
      <c r="CJ240" s="164">
        <v>10450</v>
      </c>
      <c r="CK240" s="108"/>
      <c r="CL240" s="108"/>
      <c r="CM240" s="109"/>
      <c r="CN240" s="142"/>
      <c r="CO240" s="29"/>
      <c r="CP240" s="197"/>
      <c r="CQ240" s="84"/>
      <c r="CS240" s="85"/>
      <c r="CU240" s="326">
        <f t="shared" si="18"/>
        <v>0</v>
      </c>
    </row>
    <row r="241" spans="81:99" ht="56.25">
      <c r="CC241" s="55"/>
      <c r="CD241" s="402">
        <v>10</v>
      </c>
      <c r="CE241" s="74" t="s">
        <v>284</v>
      </c>
      <c r="CF241" s="74" t="s">
        <v>296</v>
      </c>
      <c r="CG241" s="152">
        <v>1</v>
      </c>
      <c r="CH241" s="109">
        <f t="shared" si="19"/>
        <v>3000</v>
      </c>
      <c r="CI241" s="401">
        <f t="shared" si="20"/>
        <v>3000</v>
      </c>
      <c r="CJ241" s="164">
        <v>3000</v>
      </c>
      <c r="CK241" s="108"/>
      <c r="CL241" s="108"/>
      <c r="CM241" s="109"/>
      <c r="CN241" s="142"/>
      <c r="CO241" s="29"/>
      <c r="CP241" s="197"/>
      <c r="CQ241" s="84"/>
      <c r="CS241" s="85"/>
      <c r="CU241" s="326">
        <f t="shared" si="18"/>
        <v>0</v>
      </c>
    </row>
    <row r="242" spans="81:99" ht="131.25">
      <c r="CC242" s="55"/>
      <c r="CD242" s="402">
        <v>11</v>
      </c>
      <c r="CE242" s="74" t="s">
        <v>324</v>
      </c>
      <c r="CF242" s="74" t="s">
        <v>323</v>
      </c>
      <c r="CG242" s="152">
        <v>1</v>
      </c>
      <c r="CH242" s="109">
        <f t="shared" si="19"/>
        <v>3392.77</v>
      </c>
      <c r="CI242" s="401">
        <f t="shared" si="20"/>
        <v>3392.77</v>
      </c>
      <c r="CJ242" s="164">
        <v>3223.13</v>
      </c>
      <c r="CK242" s="108">
        <v>169.64</v>
      </c>
      <c r="CL242" s="108"/>
      <c r="CM242" s="109"/>
      <c r="CN242" s="142"/>
      <c r="CO242" s="29"/>
      <c r="CP242" s="197"/>
      <c r="CQ242" s="84"/>
      <c r="CS242" s="85"/>
      <c r="CU242" s="326">
        <f t="shared" si="18"/>
        <v>0</v>
      </c>
    </row>
    <row r="243" spans="81:105" ht="168.75">
      <c r="CC243" s="55"/>
      <c r="CD243" s="402">
        <v>12</v>
      </c>
      <c r="CE243" s="74" t="s">
        <v>288</v>
      </c>
      <c r="CF243" s="74" t="s">
        <v>287</v>
      </c>
      <c r="CG243" s="152">
        <v>1</v>
      </c>
      <c r="CH243" s="109">
        <f t="shared" si="19"/>
        <v>4800</v>
      </c>
      <c r="CI243" s="401">
        <f t="shared" si="20"/>
        <v>4800</v>
      </c>
      <c r="CJ243" s="164"/>
      <c r="CK243" s="108"/>
      <c r="CL243" s="108">
        <f>4800</f>
        <v>4800</v>
      </c>
      <c r="CM243" s="109"/>
      <c r="CN243" s="142"/>
      <c r="CO243" s="29"/>
      <c r="CP243" s="197"/>
      <c r="CQ243" s="84"/>
      <c r="CS243" s="85"/>
      <c r="CU243" s="326">
        <f t="shared" si="18"/>
        <v>0</v>
      </c>
      <c r="CZ243" s="104"/>
      <c r="DA243" s="104"/>
    </row>
    <row r="244" spans="81:105" ht="93.75">
      <c r="CC244" s="55"/>
      <c r="CD244" s="402">
        <v>13</v>
      </c>
      <c r="CE244" s="74" t="s">
        <v>291</v>
      </c>
      <c r="CF244" s="74" t="s">
        <v>290</v>
      </c>
      <c r="CG244" s="152">
        <v>1</v>
      </c>
      <c r="CH244" s="109">
        <f t="shared" si="19"/>
        <v>19000</v>
      </c>
      <c r="CI244" s="401">
        <f t="shared" si="20"/>
        <v>19000</v>
      </c>
      <c r="CJ244" s="164">
        <f>19000</f>
        <v>19000</v>
      </c>
      <c r="CK244" s="108"/>
      <c r="CL244" s="108"/>
      <c r="CM244" s="109"/>
      <c r="CN244" s="142"/>
      <c r="CO244" s="29"/>
      <c r="CP244" s="197"/>
      <c r="CQ244" s="84"/>
      <c r="CS244" s="85"/>
      <c r="CU244" s="326">
        <f t="shared" si="18"/>
        <v>0</v>
      </c>
      <c r="CZ244" s="104"/>
      <c r="DA244" s="104"/>
    </row>
    <row r="245" spans="81:104" ht="112.5">
      <c r="CC245" s="55"/>
      <c r="CD245" s="402">
        <v>14</v>
      </c>
      <c r="CE245" s="74" t="s">
        <v>292</v>
      </c>
      <c r="CF245" s="74" t="s">
        <v>293</v>
      </c>
      <c r="CG245" s="152">
        <v>2</v>
      </c>
      <c r="CH245" s="109">
        <f t="shared" si="19"/>
        <v>11700</v>
      </c>
      <c r="CI245" s="401">
        <f t="shared" si="20"/>
        <v>11700</v>
      </c>
      <c r="CJ245" s="164">
        <f>8000+3700</f>
        <v>11700</v>
      </c>
      <c r="CK245" s="108"/>
      <c r="CL245" s="108"/>
      <c r="CM245" s="109"/>
      <c r="CN245" s="142"/>
      <c r="CO245" s="29"/>
      <c r="CP245" s="197"/>
      <c r="CQ245" s="84"/>
      <c r="CS245" s="85"/>
      <c r="CU245" s="326">
        <f t="shared" si="18"/>
        <v>0</v>
      </c>
      <c r="CZ245" s="104"/>
    </row>
    <row r="246" spans="81:99" ht="75">
      <c r="CC246" s="55"/>
      <c r="CD246" s="402">
        <v>15</v>
      </c>
      <c r="CE246" s="74" t="s">
        <v>295</v>
      </c>
      <c r="CF246" s="74" t="s">
        <v>294</v>
      </c>
      <c r="CG246" s="152">
        <v>1</v>
      </c>
      <c r="CH246" s="109">
        <f t="shared" si="19"/>
        <v>6000</v>
      </c>
      <c r="CI246" s="401">
        <f>CJ246+CK246+CL246+CM246+CN246</f>
        <v>6000</v>
      </c>
      <c r="CJ246" s="164">
        <v>6000</v>
      </c>
      <c r="CK246" s="108"/>
      <c r="CL246" s="108"/>
      <c r="CM246" s="109"/>
      <c r="CN246" s="142"/>
      <c r="CO246" s="29"/>
      <c r="CP246" s="197"/>
      <c r="CQ246" s="84"/>
      <c r="CS246" s="85"/>
      <c r="CU246" s="326">
        <f t="shared" si="18"/>
        <v>0</v>
      </c>
    </row>
    <row r="247" spans="81:99" ht="56.25">
      <c r="CC247" s="55"/>
      <c r="CD247" s="402">
        <v>16</v>
      </c>
      <c r="CE247" s="74" t="s">
        <v>298</v>
      </c>
      <c r="CF247" s="74" t="s">
        <v>322</v>
      </c>
      <c r="CG247" s="152">
        <v>1</v>
      </c>
      <c r="CH247" s="109">
        <f t="shared" si="19"/>
        <v>28118</v>
      </c>
      <c r="CI247" s="401">
        <f aca="true" t="shared" si="21" ref="CI247:CI252">CJ247+CK247+CL247+CM247+CN247</f>
        <v>28118</v>
      </c>
      <c r="CJ247" s="164"/>
      <c r="CK247" s="108"/>
      <c r="CL247" s="108"/>
      <c r="CM247" s="109">
        <f>28118</f>
        <v>28118</v>
      </c>
      <c r="CN247" s="142"/>
      <c r="CO247" s="29"/>
      <c r="CP247" s="197"/>
      <c r="CQ247" s="84"/>
      <c r="CS247" s="85"/>
      <c r="CU247" s="326">
        <f t="shared" si="18"/>
        <v>0</v>
      </c>
    </row>
    <row r="248" spans="81:99" ht="131.25">
      <c r="CC248" s="55"/>
      <c r="CD248" s="402">
        <v>17</v>
      </c>
      <c r="CE248" s="74" t="s">
        <v>330</v>
      </c>
      <c r="CF248" s="74" t="s">
        <v>329</v>
      </c>
      <c r="CG248" s="152">
        <v>1</v>
      </c>
      <c r="CH248" s="109">
        <f t="shared" si="19"/>
        <v>15000</v>
      </c>
      <c r="CI248" s="401">
        <f t="shared" si="21"/>
        <v>15000</v>
      </c>
      <c r="CJ248" s="164">
        <v>7500</v>
      </c>
      <c r="CK248" s="108">
        <v>7500</v>
      </c>
      <c r="CL248" s="108"/>
      <c r="CM248" s="109"/>
      <c r="CN248" s="142"/>
      <c r="CO248" s="29"/>
      <c r="CP248" s="197"/>
      <c r="CQ248" s="84"/>
      <c r="CS248" s="85"/>
      <c r="CU248" s="326">
        <f t="shared" si="18"/>
        <v>0</v>
      </c>
    </row>
    <row r="249" spans="81:99" ht="75">
      <c r="CC249" s="55"/>
      <c r="CD249" s="402">
        <v>18</v>
      </c>
      <c r="CE249" s="74" t="s">
        <v>309</v>
      </c>
      <c r="CF249" s="74" t="s">
        <v>308</v>
      </c>
      <c r="CG249" s="152">
        <v>1</v>
      </c>
      <c r="CH249" s="109">
        <f t="shared" si="19"/>
        <v>4625</v>
      </c>
      <c r="CI249" s="401">
        <f t="shared" si="21"/>
        <v>4625</v>
      </c>
      <c r="CJ249" s="164"/>
      <c r="CK249" s="108">
        <v>4625</v>
      </c>
      <c r="CL249" s="108"/>
      <c r="CM249" s="109"/>
      <c r="CN249" s="142"/>
      <c r="CO249" s="29"/>
      <c r="CP249" s="197"/>
      <c r="CQ249" s="84"/>
      <c r="CS249" s="85"/>
      <c r="CU249" s="326">
        <f t="shared" si="18"/>
        <v>0</v>
      </c>
    </row>
    <row r="250" spans="81:99" ht="56.25">
      <c r="CC250" s="55"/>
      <c r="CD250" s="402">
        <v>19</v>
      </c>
      <c r="CE250" s="74" t="s">
        <v>311</v>
      </c>
      <c r="CF250" s="74" t="s">
        <v>310</v>
      </c>
      <c r="CG250" s="152">
        <v>1</v>
      </c>
      <c r="CH250" s="109">
        <f t="shared" si="19"/>
        <v>4000</v>
      </c>
      <c r="CI250" s="401">
        <f t="shared" si="21"/>
        <v>4000</v>
      </c>
      <c r="CJ250" s="154"/>
      <c r="CK250" s="109">
        <v>4000</v>
      </c>
      <c r="CL250" s="109"/>
      <c r="CM250" s="109"/>
      <c r="CN250" s="142"/>
      <c r="CO250" s="29"/>
      <c r="CP250" s="197"/>
      <c r="CQ250" s="84"/>
      <c r="CS250" s="85"/>
      <c r="CU250" s="326">
        <f t="shared" si="18"/>
        <v>0</v>
      </c>
    </row>
    <row r="251" spans="81:99" ht="112.5">
      <c r="CC251" s="55"/>
      <c r="CD251" s="402">
        <v>20</v>
      </c>
      <c r="CE251" s="74" t="s">
        <v>313</v>
      </c>
      <c r="CF251" s="74" t="s">
        <v>312</v>
      </c>
      <c r="CG251" s="152">
        <v>1</v>
      </c>
      <c r="CH251" s="109">
        <f t="shared" si="19"/>
        <v>8750</v>
      </c>
      <c r="CI251" s="401">
        <f>CJ251+CK251+CL251+CM251+CN251</f>
        <v>8750</v>
      </c>
      <c r="CJ251" s="154"/>
      <c r="CK251" s="109">
        <v>8750</v>
      </c>
      <c r="CL251" s="109"/>
      <c r="CM251" s="109"/>
      <c r="CN251" s="142"/>
      <c r="CO251" s="29"/>
      <c r="CP251" s="197"/>
      <c r="CQ251" s="84"/>
      <c r="CS251" s="85"/>
      <c r="CU251" s="326">
        <f t="shared" si="18"/>
        <v>0</v>
      </c>
    </row>
    <row r="252" spans="81:99" ht="75">
      <c r="CC252" s="55"/>
      <c r="CD252" s="402">
        <v>21</v>
      </c>
      <c r="CE252" s="74" t="s">
        <v>326</v>
      </c>
      <c r="CF252" s="74" t="s">
        <v>325</v>
      </c>
      <c r="CG252" s="152">
        <v>1</v>
      </c>
      <c r="CH252" s="109">
        <f t="shared" si="19"/>
        <v>4500</v>
      </c>
      <c r="CI252" s="401">
        <f t="shared" si="21"/>
        <v>4500</v>
      </c>
      <c r="CJ252" s="154">
        <v>4275</v>
      </c>
      <c r="CK252" s="109">
        <v>225</v>
      </c>
      <c r="CL252" s="109"/>
      <c r="CM252" s="109"/>
      <c r="CN252" s="142"/>
      <c r="CO252" s="29"/>
      <c r="CP252" s="197"/>
      <c r="CQ252" s="84"/>
      <c r="CS252" s="85"/>
      <c r="CU252" s="326">
        <f t="shared" si="18"/>
        <v>0</v>
      </c>
    </row>
    <row r="253" spans="81:99" ht="168.75">
      <c r="CC253" s="55"/>
      <c r="CD253" s="402">
        <v>22</v>
      </c>
      <c r="CE253" s="74" t="s">
        <v>328</v>
      </c>
      <c r="CF253" s="74" t="s">
        <v>327</v>
      </c>
      <c r="CG253" s="152">
        <v>1</v>
      </c>
      <c r="CH253" s="109">
        <f t="shared" si="19"/>
        <v>3109.32</v>
      </c>
      <c r="CI253" s="401">
        <f aca="true" t="shared" si="22" ref="CI253:CI283">CJ253+CK253+CL253+CM253</f>
        <v>3109.32</v>
      </c>
      <c r="CJ253" s="154"/>
      <c r="CK253" s="109">
        <v>3109.32</v>
      </c>
      <c r="CL253" s="109"/>
      <c r="CM253" s="109"/>
      <c r="CN253" s="142"/>
      <c r="CO253" s="29"/>
      <c r="CP253" s="197"/>
      <c r="CQ253" s="84"/>
      <c r="CS253" s="85"/>
      <c r="CU253" s="326">
        <f t="shared" si="18"/>
        <v>0</v>
      </c>
    </row>
    <row r="254" spans="81:99" ht="18.75" customHeight="1" hidden="1">
      <c r="CC254" s="55"/>
      <c r="CD254" s="402">
        <v>23</v>
      </c>
      <c r="CE254" s="44"/>
      <c r="CF254" s="74"/>
      <c r="CG254" s="152"/>
      <c r="CH254" s="109">
        <f t="shared" si="19"/>
        <v>0</v>
      </c>
      <c r="CI254" s="401">
        <f t="shared" si="22"/>
        <v>0</v>
      </c>
      <c r="CJ254" s="154"/>
      <c r="CK254" s="109"/>
      <c r="CL254" s="109"/>
      <c r="CM254" s="109"/>
      <c r="CN254" s="142"/>
      <c r="CO254" s="29"/>
      <c r="CP254" s="197"/>
      <c r="CQ254" s="84"/>
      <c r="CS254" s="85"/>
      <c r="CU254" s="326">
        <f t="shared" si="18"/>
        <v>0</v>
      </c>
    </row>
    <row r="255" spans="81:99" ht="18.75" customHeight="1" hidden="1">
      <c r="CC255" s="55"/>
      <c r="CD255" s="402">
        <v>24</v>
      </c>
      <c r="CE255" s="44"/>
      <c r="CF255" s="74"/>
      <c r="CG255" s="152"/>
      <c r="CH255" s="109">
        <f t="shared" si="19"/>
        <v>0</v>
      </c>
      <c r="CI255" s="401">
        <f t="shared" si="22"/>
        <v>0</v>
      </c>
      <c r="CJ255" s="154"/>
      <c r="CK255" s="109"/>
      <c r="CL255" s="109"/>
      <c r="CM255" s="109"/>
      <c r="CN255" s="142"/>
      <c r="CO255" s="29"/>
      <c r="CP255" s="197"/>
      <c r="CQ255" s="84"/>
      <c r="CS255" s="85"/>
      <c r="CU255" s="326">
        <f t="shared" si="18"/>
        <v>0</v>
      </c>
    </row>
    <row r="256" spans="81:99" ht="18.75" customHeight="1" hidden="1">
      <c r="CC256" s="55"/>
      <c r="CD256" s="402">
        <v>25</v>
      </c>
      <c r="CE256" s="44"/>
      <c r="CF256" s="74"/>
      <c r="CG256" s="152"/>
      <c r="CH256" s="109">
        <f t="shared" si="19"/>
        <v>0</v>
      </c>
      <c r="CI256" s="401">
        <f t="shared" si="22"/>
        <v>0</v>
      </c>
      <c r="CJ256" s="154"/>
      <c r="CK256" s="109"/>
      <c r="CL256" s="109"/>
      <c r="CM256" s="109"/>
      <c r="CN256" s="142"/>
      <c r="CO256" s="29"/>
      <c r="CP256" s="197"/>
      <c r="CQ256" s="84"/>
      <c r="CS256" s="85"/>
      <c r="CU256" s="326">
        <f t="shared" si="18"/>
        <v>0</v>
      </c>
    </row>
    <row r="257" spans="81:99" ht="18.75" customHeight="1" hidden="1">
      <c r="CC257" s="55"/>
      <c r="CD257" s="402">
        <v>26</v>
      </c>
      <c r="CE257" s="44"/>
      <c r="CF257" s="74"/>
      <c r="CG257" s="152"/>
      <c r="CH257" s="109">
        <f t="shared" si="19"/>
        <v>0</v>
      </c>
      <c r="CI257" s="401">
        <f t="shared" si="22"/>
        <v>0</v>
      </c>
      <c r="CJ257" s="154"/>
      <c r="CK257" s="109"/>
      <c r="CL257" s="109"/>
      <c r="CM257" s="109"/>
      <c r="CN257" s="142"/>
      <c r="CO257" s="29"/>
      <c r="CP257" s="197"/>
      <c r="CQ257" s="84"/>
      <c r="CS257" s="85"/>
      <c r="CU257" s="326">
        <f t="shared" si="18"/>
        <v>0</v>
      </c>
    </row>
    <row r="258" spans="81:99" ht="18.75" customHeight="1" hidden="1">
      <c r="CC258" s="55"/>
      <c r="CD258" s="402">
        <v>27</v>
      </c>
      <c r="CE258" s="44"/>
      <c r="CF258" s="74"/>
      <c r="CG258" s="152"/>
      <c r="CH258" s="109">
        <f t="shared" si="19"/>
        <v>0</v>
      </c>
      <c r="CI258" s="401">
        <f t="shared" si="22"/>
        <v>0</v>
      </c>
      <c r="CJ258" s="154"/>
      <c r="CK258" s="109"/>
      <c r="CL258" s="109"/>
      <c r="CM258" s="109"/>
      <c r="CN258" s="142"/>
      <c r="CO258" s="29"/>
      <c r="CP258" s="197"/>
      <c r="CQ258" s="84"/>
      <c r="CS258" s="85"/>
      <c r="CU258" s="326">
        <f t="shared" si="18"/>
        <v>0</v>
      </c>
    </row>
    <row r="259" spans="81:99" ht="18.75" customHeight="1" hidden="1">
      <c r="CC259" s="55"/>
      <c r="CD259" s="402">
        <v>28</v>
      </c>
      <c r="CE259" s="44"/>
      <c r="CF259" s="74"/>
      <c r="CG259" s="152"/>
      <c r="CH259" s="109">
        <f t="shared" si="19"/>
        <v>0</v>
      </c>
      <c r="CI259" s="401">
        <f t="shared" si="22"/>
        <v>0</v>
      </c>
      <c r="CJ259" s="154"/>
      <c r="CK259" s="109"/>
      <c r="CL259" s="109"/>
      <c r="CM259" s="109"/>
      <c r="CN259" s="142"/>
      <c r="CO259" s="29"/>
      <c r="CP259" s="197"/>
      <c r="CQ259" s="84"/>
      <c r="CS259" s="85"/>
      <c r="CU259" s="326">
        <f t="shared" si="18"/>
        <v>0</v>
      </c>
    </row>
    <row r="260" spans="81:99" ht="18.75" customHeight="1" hidden="1">
      <c r="CC260" s="55"/>
      <c r="CD260" s="402">
        <v>29</v>
      </c>
      <c r="CE260" s="44"/>
      <c r="CF260" s="74"/>
      <c r="CG260" s="152"/>
      <c r="CH260" s="109"/>
      <c r="CI260" s="401">
        <f t="shared" si="22"/>
        <v>0</v>
      </c>
      <c r="CJ260" s="154"/>
      <c r="CK260" s="109"/>
      <c r="CL260" s="109"/>
      <c r="CM260" s="109"/>
      <c r="CN260" s="142"/>
      <c r="CO260" s="29"/>
      <c r="CP260" s="197"/>
      <c r="CQ260" s="84"/>
      <c r="CS260" s="85"/>
      <c r="CU260" s="326">
        <f t="shared" si="18"/>
        <v>0</v>
      </c>
    </row>
    <row r="261" spans="81:99" ht="18.75" customHeight="1" hidden="1">
      <c r="CC261" s="55"/>
      <c r="CD261" s="402">
        <v>30</v>
      </c>
      <c r="CE261" s="44"/>
      <c r="CF261" s="74"/>
      <c r="CG261" s="152"/>
      <c r="CH261" s="109"/>
      <c r="CI261" s="401">
        <f t="shared" si="22"/>
        <v>0</v>
      </c>
      <c r="CJ261" s="154"/>
      <c r="CK261" s="109"/>
      <c r="CL261" s="109"/>
      <c r="CM261" s="109"/>
      <c r="CN261" s="142"/>
      <c r="CO261" s="29"/>
      <c r="CP261" s="197"/>
      <c r="CQ261" s="84"/>
      <c r="CS261" s="85"/>
      <c r="CU261" s="326">
        <f t="shared" si="18"/>
        <v>0</v>
      </c>
    </row>
    <row r="262" spans="81:99" ht="18.75" customHeight="1" hidden="1">
      <c r="CC262" s="55"/>
      <c r="CD262" s="402">
        <v>31</v>
      </c>
      <c r="CE262" s="44"/>
      <c r="CF262" s="74"/>
      <c r="CG262" s="152"/>
      <c r="CH262" s="109"/>
      <c r="CI262" s="401">
        <f t="shared" si="22"/>
        <v>0</v>
      </c>
      <c r="CJ262" s="154"/>
      <c r="CK262" s="109"/>
      <c r="CL262" s="109"/>
      <c r="CM262" s="109"/>
      <c r="CN262" s="142"/>
      <c r="CO262" s="29"/>
      <c r="CP262" s="197"/>
      <c r="CQ262" s="84"/>
      <c r="CS262" s="85"/>
      <c r="CU262" s="326">
        <f t="shared" si="18"/>
        <v>0</v>
      </c>
    </row>
    <row r="263" spans="81:99" ht="18.75" customHeight="1" hidden="1">
      <c r="CC263" s="55"/>
      <c r="CD263" s="402">
        <v>32</v>
      </c>
      <c r="CE263" s="44"/>
      <c r="CF263" s="74"/>
      <c r="CG263" s="152"/>
      <c r="CH263" s="109"/>
      <c r="CI263" s="401">
        <f t="shared" si="22"/>
        <v>0</v>
      </c>
      <c r="CJ263" s="154"/>
      <c r="CK263" s="109"/>
      <c r="CL263" s="109"/>
      <c r="CM263" s="109"/>
      <c r="CN263" s="142"/>
      <c r="CO263" s="29"/>
      <c r="CP263" s="197"/>
      <c r="CQ263" s="84"/>
      <c r="CS263" s="85"/>
      <c r="CU263" s="326">
        <f t="shared" si="18"/>
        <v>0</v>
      </c>
    </row>
    <row r="264" spans="81:99" ht="18.75" customHeight="1" hidden="1">
      <c r="CC264" s="55"/>
      <c r="CD264" s="402">
        <v>33</v>
      </c>
      <c r="CE264" s="44"/>
      <c r="CF264" s="74"/>
      <c r="CG264" s="152"/>
      <c r="CH264" s="109"/>
      <c r="CI264" s="401">
        <f t="shared" si="22"/>
        <v>0</v>
      </c>
      <c r="CJ264" s="154"/>
      <c r="CK264" s="109"/>
      <c r="CL264" s="109"/>
      <c r="CM264" s="109"/>
      <c r="CN264" s="142"/>
      <c r="CO264" s="29"/>
      <c r="CP264" s="197"/>
      <c r="CQ264" s="84"/>
      <c r="CS264" s="85"/>
      <c r="CU264" s="326">
        <f t="shared" si="18"/>
        <v>0</v>
      </c>
    </row>
    <row r="265" spans="81:99" ht="18.75" customHeight="1" hidden="1">
      <c r="CC265" s="55"/>
      <c r="CD265" s="402">
        <v>34</v>
      </c>
      <c r="CE265" s="44"/>
      <c r="CF265" s="74"/>
      <c r="CG265" s="152"/>
      <c r="CH265" s="109"/>
      <c r="CI265" s="401">
        <f t="shared" si="22"/>
        <v>0</v>
      </c>
      <c r="CJ265" s="154"/>
      <c r="CK265" s="109"/>
      <c r="CL265" s="109"/>
      <c r="CM265" s="109"/>
      <c r="CN265" s="142"/>
      <c r="CO265" s="29"/>
      <c r="CP265" s="197"/>
      <c r="CQ265" s="84"/>
      <c r="CS265" s="85"/>
      <c r="CU265" s="326">
        <f t="shared" si="18"/>
        <v>0</v>
      </c>
    </row>
    <row r="266" spans="81:99" ht="18.75" customHeight="1" hidden="1">
      <c r="CC266" s="55"/>
      <c r="CD266" s="402">
        <v>35</v>
      </c>
      <c r="CE266" s="44"/>
      <c r="CF266" s="74"/>
      <c r="CG266" s="152"/>
      <c r="CH266" s="109"/>
      <c r="CI266" s="401">
        <f t="shared" si="22"/>
        <v>0</v>
      </c>
      <c r="CJ266" s="154"/>
      <c r="CK266" s="109"/>
      <c r="CL266" s="109"/>
      <c r="CM266" s="109"/>
      <c r="CN266" s="142"/>
      <c r="CO266" s="29"/>
      <c r="CP266" s="197"/>
      <c r="CQ266" s="84"/>
      <c r="CS266" s="85"/>
      <c r="CU266" s="326">
        <f t="shared" si="18"/>
        <v>0</v>
      </c>
    </row>
    <row r="267" spans="81:99" ht="18.75" customHeight="1" hidden="1">
      <c r="CC267" s="55"/>
      <c r="CD267" s="402">
        <v>36</v>
      </c>
      <c r="CE267" s="44"/>
      <c r="CF267" s="74"/>
      <c r="CG267" s="152"/>
      <c r="CH267" s="109"/>
      <c r="CI267" s="401">
        <f t="shared" si="22"/>
        <v>0</v>
      </c>
      <c r="CJ267" s="154"/>
      <c r="CK267" s="109"/>
      <c r="CL267" s="109"/>
      <c r="CM267" s="109"/>
      <c r="CN267" s="142"/>
      <c r="CO267" s="29"/>
      <c r="CP267" s="197"/>
      <c r="CQ267" s="84"/>
      <c r="CS267" s="85"/>
      <c r="CU267" s="326">
        <f t="shared" si="18"/>
        <v>0</v>
      </c>
    </row>
    <row r="268" spans="81:99" ht="18.75" customHeight="1" hidden="1">
      <c r="CC268" s="55"/>
      <c r="CD268" s="402">
        <v>37</v>
      </c>
      <c r="CE268" s="44"/>
      <c r="CF268" s="74"/>
      <c r="CG268" s="152"/>
      <c r="CH268" s="109"/>
      <c r="CI268" s="401">
        <f t="shared" si="22"/>
        <v>0</v>
      </c>
      <c r="CJ268" s="154"/>
      <c r="CK268" s="109"/>
      <c r="CL268" s="109"/>
      <c r="CM268" s="109"/>
      <c r="CN268" s="142"/>
      <c r="CO268" s="29"/>
      <c r="CP268" s="197"/>
      <c r="CQ268" s="84"/>
      <c r="CS268" s="85"/>
      <c r="CU268" s="326">
        <f t="shared" si="18"/>
        <v>0</v>
      </c>
    </row>
    <row r="269" spans="81:99" ht="18.75" customHeight="1" hidden="1">
      <c r="CC269" s="55"/>
      <c r="CD269" s="402">
        <v>38</v>
      </c>
      <c r="CE269" s="44"/>
      <c r="CF269" s="74"/>
      <c r="CG269" s="152"/>
      <c r="CH269" s="109"/>
      <c r="CI269" s="401">
        <f t="shared" si="22"/>
        <v>0</v>
      </c>
      <c r="CJ269" s="154"/>
      <c r="CK269" s="109"/>
      <c r="CL269" s="109"/>
      <c r="CM269" s="109"/>
      <c r="CN269" s="142"/>
      <c r="CO269" s="29"/>
      <c r="CP269" s="197"/>
      <c r="CQ269" s="84"/>
      <c r="CS269" s="85"/>
      <c r="CU269" s="326">
        <f t="shared" si="18"/>
        <v>0</v>
      </c>
    </row>
    <row r="270" spans="81:99" ht="18.75" customHeight="1" hidden="1">
      <c r="CC270" s="55"/>
      <c r="CD270" s="402">
        <v>39</v>
      </c>
      <c r="CE270" s="44"/>
      <c r="CF270" s="74"/>
      <c r="CG270" s="152"/>
      <c r="CH270" s="109"/>
      <c r="CI270" s="401">
        <f t="shared" si="22"/>
        <v>0</v>
      </c>
      <c r="CJ270" s="154"/>
      <c r="CK270" s="109"/>
      <c r="CL270" s="109"/>
      <c r="CM270" s="109"/>
      <c r="CN270" s="142"/>
      <c r="CO270" s="29"/>
      <c r="CP270" s="197"/>
      <c r="CQ270" s="84"/>
      <c r="CS270" s="85"/>
      <c r="CU270" s="326">
        <f t="shared" si="18"/>
        <v>0</v>
      </c>
    </row>
    <row r="271" spans="81:99" ht="18.75" customHeight="1" hidden="1">
      <c r="CC271" s="55"/>
      <c r="CD271" s="402">
        <v>40</v>
      </c>
      <c r="CE271" s="44"/>
      <c r="CF271" s="74"/>
      <c r="CG271" s="152"/>
      <c r="CH271" s="109"/>
      <c r="CI271" s="401">
        <f t="shared" si="22"/>
        <v>0</v>
      </c>
      <c r="CJ271" s="154"/>
      <c r="CK271" s="109"/>
      <c r="CL271" s="109"/>
      <c r="CM271" s="109"/>
      <c r="CN271" s="142"/>
      <c r="CO271" s="29"/>
      <c r="CP271" s="197"/>
      <c r="CQ271" s="84"/>
      <c r="CS271" s="85"/>
      <c r="CU271" s="326">
        <f t="shared" si="18"/>
        <v>0</v>
      </c>
    </row>
    <row r="272" spans="81:99" ht="18.75" customHeight="1" hidden="1">
      <c r="CC272" s="55"/>
      <c r="CD272" s="402">
        <v>41</v>
      </c>
      <c r="CE272" s="44"/>
      <c r="CF272" s="74"/>
      <c r="CG272" s="152"/>
      <c r="CH272" s="109"/>
      <c r="CI272" s="401">
        <f t="shared" si="22"/>
        <v>0</v>
      </c>
      <c r="CJ272" s="154"/>
      <c r="CK272" s="109"/>
      <c r="CL272" s="109"/>
      <c r="CM272" s="109"/>
      <c r="CN272" s="142"/>
      <c r="CO272" s="29"/>
      <c r="CP272" s="197"/>
      <c r="CQ272" s="84"/>
      <c r="CS272" s="85"/>
      <c r="CU272" s="326">
        <f t="shared" si="18"/>
        <v>0</v>
      </c>
    </row>
    <row r="273" spans="81:99" ht="18.75" customHeight="1" hidden="1">
      <c r="CC273" s="55"/>
      <c r="CD273" s="402">
        <v>42</v>
      </c>
      <c r="CE273" s="44"/>
      <c r="CF273" s="74"/>
      <c r="CG273" s="152"/>
      <c r="CH273" s="109"/>
      <c r="CI273" s="401">
        <f t="shared" si="22"/>
        <v>0</v>
      </c>
      <c r="CJ273" s="154"/>
      <c r="CK273" s="109"/>
      <c r="CL273" s="109"/>
      <c r="CM273" s="109"/>
      <c r="CN273" s="142"/>
      <c r="CO273" s="29"/>
      <c r="CP273" s="197"/>
      <c r="CQ273" s="84"/>
      <c r="CS273" s="85"/>
      <c r="CU273" s="326">
        <f t="shared" si="18"/>
        <v>0</v>
      </c>
    </row>
    <row r="274" spans="81:99" ht="18.75" customHeight="1" hidden="1">
      <c r="CC274" s="55"/>
      <c r="CD274" s="402">
        <v>43</v>
      </c>
      <c r="CE274" s="44"/>
      <c r="CF274" s="74"/>
      <c r="CG274" s="152"/>
      <c r="CH274" s="109"/>
      <c r="CI274" s="401">
        <f t="shared" si="22"/>
        <v>0</v>
      </c>
      <c r="CJ274" s="154"/>
      <c r="CK274" s="109"/>
      <c r="CL274" s="109"/>
      <c r="CM274" s="109"/>
      <c r="CN274" s="142"/>
      <c r="CO274" s="29"/>
      <c r="CP274" s="197"/>
      <c r="CQ274" s="84"/>
      <c r="CS274" s="85"/>
      <c r="CU274" s="326">
        <f t="shared" si="18"/>
        <v>0</v>
      </c>
    </row>
    <row r="275" spans="81:99" ht="18.75" customHeight="1" hidden="1">
      <c r="CC275" s="55"/>
      <c r="CD275" s="402"/>
      <c r="CE275" s="44"/>
      <c r="CF275" s="74"/>
      <c r="CG275" s="152"/>
      <c r="CH275" s="109"/>
      <c r="CI275" s="401">
        <f t="shared" si="22"/>
        <v>0</v>
      </c>
      <c r="CJ275" s="154"/>
      <c r="CK275" s="109"/>
      <c r="CL275" s="109"/>
      <c r="CM275" s="109"/>
      <c r="CN275" s="142"/>
      <c r="CO275" s="29"/>
      <c r="CP275" s="197"/>
      <c r="CQ275" s="84"/>
      <c r="CS275" s="85"/>
      <c r="CU275" s="326">
        <f t="shared" si="18"/>
        <v>0</v>
      </c>
    </row>
    <row r="276" spans="81:99" ht="18.75" customHeight="1" hidden="1">
      <c r="CC276" s="55"/>
      <c r="CD276" s="402"/>
      <c r="CE276" s="44"/>
      <c r="CF276" s="74"/>
      <c r="CG276" s="152"/>
      <c r="CH276" s="109"/>
      <c r="CI276" s="401">
        <f t="shared" si="22"/>
        <v>0</v>
      </c>
      <c r="CJ276" s="154"/>
      <c r="CK276" s="109"/>
      <c r="CL276" s="109"/>
      <c r="CM276" s="109"/>
      <c r="CN276" s="142"/>
      <c r="CO276" s="29"/>
      <c r="CP276" s="197"/>
      <c r="CQ276" s="84"/>
      <c r="CS276" s="85"/>
      <c r="CU276" s="326">
        <f t="shared" si="18"/>
        <v>0</v>
      </c>
    </row>
    <row r="277" spans="81:99" ht="18.75" customHeight="1" hidden="1">
      <c r="CC277" s="55"/>
      <c r="CD277" s="402"/>
      <c r="CE277" s="44"/>
      <c r="CF277" s="74"/>
      <c r="CG277" s="152"/>
      <c r="CH277" s="109"/>
      <c r="CI277" s="401">
        <f t="shared" si="22"/>
        <v>0</v>
      </c>
      <c r="CJ277" s="154"/>
      <c r="CK277" s="109"/>
      <c r="CL277" s="109"/>
      <c r="CM277" s="109"/>
      <c r="CN277" s="142"/>
      <c r="CO277" s="29"/>
      <c r="CP277" s="197"/>
      <c r="CQ277" s="84"/>
      <c r="CS277" s="85"/>
      <c r="CU277" s="326">
        <f t="shared" si="18"/>
        <v>0</v>
      </c>
    </row>
    <row r="278" spans="81:99" ht="18.75" customHeight="1" hidden="1">
      <c r="CC278" s="55"/>
      <c r="CD278" s="402"/>
      <c r="CE278" s="44"/>
      <c r="CF278" s="74"/>
      <c r="CG278" s="152"/>
      <c r="CH278" s="109"/>
      <c r="CI278" s="401">
        <f t="shared" si="22"/>
        <v>0</v>
      </c>
      <c r="CJ278" s="154"/>
      <c r="CK278" s="109"/>
      <c r="CL278" s="109"/>
      <c r="CM278" s="109"/>
      <c r="CN278" s="142"/>
      <c r="CO278" s="29"/>
      <c r="CP278" s="197"/>
      <c r="CQ278" s="84"/>
      <c r="CS278" s="85"/>
      <c r="CU278" s="326">
        <f t="shared" si="18"/>
        <v>0</v>
      </c>
    </row>
    <row r="279" spans="81:99" ht="18.75" customHeight="1" hidden="1">
      <c r="CC279" s="55"/>
      <c r="CD279" s="402"/>
      <c r="CE279" s="44"/>
      <c r="CF279" s="74"/>
      <c r="CG279" s="152"/>
      <c r="CH279" s="109"/>
      <c r="CI279" s="401">
        <f t="shared" si="22"/>
        <v>0</v>
      </c>
      <c r="CJ279" s="154"/>
      <c r="CK279" s="109"/>
      <c r="CL279" s="109"/>
      <c r="CM279" s="109"/>
      <c r="CN279" s="142"/>
      <c r="CO279" s="29"/>
      <c r="CP279" s="197"/>
      <c r="CQ279" s="84"/>
      <c r="CS279" s="85"/>
      <c r="CU279" s="326">
        <f t="shared" si="18"/>
        <v>0</v>
      </c>
    </row>
    <row r="280" spans="81:99" ht="18.75" customHeight="1" hidden="1">
      <c r="CC280" s="55"/>
      <c r="CD280" s="402"/>
      <c r="CE280" s="44"/>
      <c r="CF280" s="74"/>
      <c r="CG280" s="152"/>
      <c r="CH280" s="109"/>
      <c r="CI280" s="401">
        <f t="shared" si="22"/>
        <v>0</v>
      </c>
      <c r="CJ280" s="154"/>
      <c r="CK280" s="109"/>
      <c r="CL280" s="109"/>
      <c r="CM280" s="109"/>
      <c r="CN280" s="142"/>
      <c r="CO280" s="29"/>
      <c r="CP280" s="197"/>
      <c r="CQ280" s="84"/>
      <c r="CS280" s="85"/>
      <c r="CU280" s="326">
        <f t="shared" si="18"/>
        <v>0</v>
      </c>
    </row>
    <row r="281" spans="81:99" ht="18.75" customHeight="1" hidden="1">
      <c r="CC281" s="55"/>
      <c r="CD281" s="402"/>
      <c r="CE281" s="44"/>
      <c r="CF281" s="74"/>
      <c r="CG281" s="152"/>
      <c r="CH281" s="109"/>
      <c r="CI281" s="401">
        <f t="shared" si="22"/>
        <v>0</v>
      </c>
      <c r="CJ281" s="154"/>
      <c r="CK281" s="109"/>
      <c r="CL281" s="109"/>
      <c r="CM281" s="109"/>
      <c r="CN281" s="142"/>
      <c r="CO281" s="29"/>
      <c r="CP281" s="197"/>
      <c r="CQ281" s="84"/>
      <c r="CS281" s="85"/>
      <c r="CU281" s="326">
        <f t="shared" si="18"/>
        <v>0</v>
      </c>
    </row>
    <row r="282" spans="81:99" ht="19.5" customHeight="1" hidden="1">
      <c r="CC282" s="55"/>
      <c r="CD282" s="402"/>
      <c r="CE282" s="44"/>
      <c r="CF282" s="74"/>
      <c r="CG282" s="152"/>
      <c r="CH282" s="109"/>
      <c r="CI282" s="401">
        <f t="shared" si="22"/>
        <v>0</v>
      </c>
      <c r="CJ282" s="154"/>
      <c r="CK282" s="109"/>
      <c r="CL282" s="109"/>
      <c r="CM282" s="109"/>
      <c r="CN282" s="142"/>
      <c r="CO282" s="29"/>
      <c r="CP282" s="197"/>
      <c r="CQ282" s="84"/>
      <c r="CS282" s="85"/>
      <c r="CU282" s="326">
        <f t="shared" si="18"/>
        <v>0</v>
      </c>
    </row>
    <row r="283" spans="81:99" ht="19.5" hidden="1" thickBot="1">
      <c r="CC283" s="55"/>
      <c r="CD283" s="394"/>
      <c r="CE283" s="396"/>
      <c r="CF283" s="68"/>
      <c r="CG283" s="395"/>
      <c r="CH283" s="110"/>
      <c r="CI283" s="403">
        <f t="shared" si="22"/>
        <v>0</v>
      </c>
      <c r="CJ283" s="404"/>
      <c r="CK283" s="110"/>
      <c r="CL283" s="110"/>
      <c r="CM283" s="110"/>
      <c r="CN283" s="405"/>
      <c r="CO283" s="29"/>
      <c r="CP283" s="197"/>
      <c r="CQ283" s="84"/>
      <c r="CS283" s="85"/>
      <c r="CU283" s="333">
        <f t="shared" si="18"/>
        <v>0</v>
      </c>
    </row>
    <row r="284" spans="81:99" ht="19.5" thickBot="1">
      <c r="CC284" s="55"/>
      <c r="CD284" s="181" t="s">
        <v>48</v>
      </c>
      <c r="CE284" s="182"/>
      <c r="CF284" s="69"/>
      <c r="CG284" s="69" t="s">
        <v>56</v>
      </c>
      <c r="CH284" s="69"/>
      <c r="CI284" s="406">
        <f aca="true" t="shared" si="23" ref="CI284:CN284">SUM(CI232:CI283)</f>
        <v>878671.15</v>
      </c>
      <c r="CJ284" s="322">
        <f t="shared" si="23"/>
        <v>760920.8</v>
      </c>
      <c r="CK284" s="322">
        <f t="shared" si="23"/>
        <v>69832.35</v>
      </c>
      <c r="CL284" s="322">
        <f t="shared" si="23"/>
        <v>19800</v>
      </c>
      <c r="CM284" s="322">
        <f t="shared" si="23"/>
        <v>28118</v>
      </c>
      <c r="CN284" s="322">
        <f t="shared" si="23"/>
        <v>0</v>
      </c>
      <c r="CO284" s="29"/>
      <c r="CP284" s="197"/>
      <c r="CQ284" s="84"/>
      <c r="CS284" s="85"/>
      <c r="CU284" s="86"/>
    </row>
    <row r="285" spans="81:98" ht="18.75">
      <c r="CC285" s="55"/>
      <c r="CD285" s="70"/>
      <c r="CE285" s="70"/>
      <c r="CF285" s="185"/>
      <c r="CG285" s="407"/>
      <c r="CH285" s="407"/>
      <c r="CI285" s="407"/>
      <c r="CJ285" s="407"/>
      <c r="CK285" s="43"/>
      <c r="CL285" s="43"/>
      <c r="CM285" s="43"/>
      <c r="CN285" s="43"/>
      <c r="CO285" s="29"/>
      <c r="CP285" s="197"/>
      <c r="CQ285" s="84"/>
      <c r="CS285" s="85"/>
      <c r="CT285" s="86"/>
    </row>
    <row r="286" spans="81:98" ht="18.75">
      <c r="CC286" s="55"/>
      <c r="CD286" s="51"/>
      <c r="CE286" s="46"/>
      <c r="CF286" s="46"/>
      <c r="CG286" s="46"/>
      <c r="CH286" s="43"/>
      <c r="CI286" s="43"/>
      <c r="CJ286" s="43"/>
      <c r="CK286" s="43"/>
      <c r="CL286" s="43"/>
      <c r="CM286" s="43"/>
      <c r="CN286" s="43"/>
      <c r="CO286" s="29"/>
      <c r="CP286" s="197"/>
      <c r="CQ286" s="84"/>
      <c r="CS286" s="85"/>
      <c r="CT286" s="86"/>
    </row>
    <row r="287" spans="81:98" ht="18.75">
      <c r="CC287" s="55"/>
      <c r="CD287" s="48" t="s">
        <v>145</v>
      </c>
      <c r="CE287" s="46"/>
      <c r="CF287" s="46"/>
      <c r="CG287" s="46"/>
      <c r="CH287" s="43"/>
      <c r="CI287" s="43"/>
      <c r="CJ287" s="43"/>
      <c r="CK287" s="43"/>
      <c r="CL287" s="43"/>
      <c r="CM287" s="43"/>
      <c r="CN287" s="43"/>
      <c r="CO287" s="29"/>
      <c r="CP287" s="197"/>
      <c r="CQ287" s="84"/>
      <c r="CS287" s="85"/>
      <c r="CT287" s="86"/>
    </row>
    <row r="288" spans="81:98" ht="19.5" thickBot="1">
      <c r="CC288" s="55"/>
      <c r="CD288" s="48" t="s">
        <v>146</v>
      </c>
      <c r="CE288" s="46"/>
      <c r="CF288" s="46"/>
      <c r="CG288" s="46"/>
      <c r="CH288" s="43"/>
      <c r="CI288" s="43"/>
      <c r="CJ288" s="43"/>
      <c r="CK288" s="43"/>
      <c r="CL288" s="43"/>
      <c r="CM288" s="43"/>
      <c r="CN288" s="43"/>
      <c r="CO288" s="29"/>
      <c r="CP288" s="197"/>
      <c r="CQ288" s="84"/>
      <c r="CS288" s="85"/>
      <c r="CT288" s="86"/>
    </row>
    <row r="289" spans="81:98" ht="38.25" customHeight="1" thickBot="1">
      <c r="CC289" s="55"/>
      <c r="CD289" s="33"/>
      <c r="CE289" s="46"/>
      <c r="CF289" s="46"/>
      <c r="CG289" s="46"/>
      <c r="CH289" s="43"/>
      <c r="CI289" s="43"/>
      <c r="CJ289" s="43"/>
      <c r="CK289" s="43"/>
      <c r="CL289" s="43"/>
      <c r="CM289" s="43"/>
      <c r="CN289" s="43"/>
      <c r="CO289" s="29"/>
      <c r="CP289" s="197"/>
      <c r="CQ289" s="84"/>
      <c r="CR289" s="173" t="s">
        <v>147</v>
      </c>
      <c r="CS289" s="408">
        <v>310</v>
      </c>
      <c r="CT289" s="324">
        <v>340</v>
      </c>
    </row>
    <row r="290" spans="81:99" ht="38.25" thickBot="1">
      <c r="CC290" s="55"/>
      <c r="CD290" s="12" t="s">
        <v>51</v>
      </c>
      <c r="CE290" s="12" t="s">
        <v>26</v>
      </c>
      <c r="CF290" s="429" t="s">
        <v>202</v>
      </c>
      <c r="CG290" s="12" t="s">
        <v>132</v>
      </c>
      <c r="CH290" s="12" t="s">
        <v>148</v>
      </c>
      <c r="CI290" s="12" t="s">
        <v>149</v>
      </c>
      <c r="CJ290" s="431" t="s">
        <v>43</v>
      </c>
      <c r="CK290" s="432"/>
      <c r="CL290" s="432"/>
      <c r="CM290" s="432"/>
      <c r="CN290" s="432"/>
      <c r="CO290" s="432"/>
      <c r="CP290" s="432"/>
      <c r="CQ290" s="433"/>
      <c r="CR290" s="1" t="s">
        <v>8</v>
      </c>
      <c r="CS290" s="85">
        <f>N23</f>
        <v>106183.18</v>
      </c>
      <c r="CT290" s="85">
        <f>N25</f>
        <v>124294.91</v>
      </c>
      <c r="CU290" s="104">
        <f>CS290+CT290-CJ295</f>
        <v>0</v>
      </c>
    </row>
    <row r="291" spans="81:99" ht="57" thickBot="1">
      <c r="CC291" s="55"/>
      <c r="CD291" s="3" t="s">
        <v>39</v>
      </c>
      <c r="CE291" s="3"/>
      <c r="CF291" s="430"/>
      <c r="CG291" s="3"/>
      <c r="CH291" s="3"/>
      <c r="CI291" s="3"/>
      <c r="CJ291" s="3" t="s">
        <v>46</v>
      </c>
      <c r="CK291" s="3" t="s">
        <v>47</v>
      </c>
      <c r="CL291" s="3" t="s">
        <v>204</v>
      </c>
      <c r="CM291" s="3" t="s">
        <v>218</v>
      </c>
      <c r="CN291" s="409" t="s">
        <v>158</v>
      </c>
      <c r="CO291" s="410" t="s">
        <v>241</v>
      </c>
      <c r="CP291" s="410" t="s">
        <v>220</v>
      </c>
      <c r="CQ291" s="409" t="s">
        <v>161</v>
      </c>
      <c r="CR291" s="1" t="s">
        <v>5</v>
      </c>
      <c r="CS291" s="85">
        <f>D23</f>
        <v>81645</v>
      </c>
      <c r="CT291" s="85">
        <f>D25</f>
        <v>2907882.05</v>
      </c>
      <c r="CU291" s="303">
        <f>CS291+CT291-CK295-CL295-CN295-CM295-CQ295-CO295</f>
        <v>0</v>
      </c>
    </row>
    <row r="292" spans="81:99" ht="19.5" thickBot="1">
      <c r="CC292" s="55"/>
      <c r="CD292" s="4">
        <v>1</v>
      </c>
      <c r="CE292" s="13">
        <v>2</v>
      </c>
      <c r="CF292" s="4">
        <v>3</v>
      </c>
      <c r="CG292" s="13">
        <v>4</v>
      </c>
      <c r="CH292" s="4">
        <v>5</v>
      </c>
      <c r="CI292" s="13">
        <v>6</v>
      </c>
      <c r="CJ292" s="4">
        <v>7</v>
      </c>
      <c r="CK292" s="13">
        <v>8</v>
      </c>
      <c r="CL292" s="4">
        <v>9</v>
      </c>
      <c r="CM292" s="13">
        <v>10</v>
      </c>
      <c r="CN292" s="4">
        <v>11</v>
      </c>
      <c r="CO292" s="13">
        <v>12</v>
      </c>
      <c r="CP292" s="13">
        <v>13</v>
      </c>
      <c r="CQ292" s="4">
        <v>14</v>
      </c>
      <c r="CR292" s="85" t="s">
        <v>9</v>
      </c>
      <c r="CS292" s="85">
        <f>AR23</f>
        <v>107400</v>
      </c>
      <c r="CT292" s="85">
        <f>AR25</f>
        <v>13200</v>
      </c>
      <c r="CU292" s="303">
        <f>CS292+CT292-CP295</f>
        <v>0</v>
      </c>
    </row>
    <row r="293" spans="81:99" ht="18.75">
      <c r="CC293" s="55"/>
      <c r="CD293" s="6">
        <v>1</v>
      </c>
      <c r="CE293" s="329" t="s">
        <v>150</v>
      </c>
      <c r="CF293" s="329"/>
      <c r="CG293" s="67"/>
      <c r="CH293" s="67"/>
      <c r="CI293" s="138">
        <f>SUM(CJ293:CQ293)</f>
        <v>295228.18</v>
      </c>
      <c r="CJ293" s="151">
        <f>$N$23</f>
        <v>106183.18</v>
      </c>
      <c r="CK293" s="15">
        <f>$E$23</f>
        <v>22907</v>
      </c>
      <c r="CL293" s="15">
        <f>G23</f>
        <v>58738</v>
      </c>
      <c r="CM293" s="15"/>
      <c r="CN293" s="411">
        <f>F23</f>
        <v>0</v>
      </c>
      <c r="CO293" s="412">
        <f>K23</f>
        <v>0</v>
      </c>
      <c r="CP293" s="412">
        <f>AR23</f>
        <v>107400</v>
      </c>
      <c r="CQ293" s="267"/>
      <c r="CS293" s="85"/>
      <c r="CT293" s="85"/>
      <c r="CU293" s="413"/>
    </row>
    <row r="294" spans="81:99" ht="38.25" thickBot="1">
      <c r="CC294" s="55"/>
      <c r="CD294" s="8">
        <v>2</v>
      </c>
      <c r="CE294" s="320" t="s">
        <v>151</v>
      </c>
      <c r="CF294" s="320"/>
      <c r="CG294" s="68"/>
      <c r="CH294" s="68"/>
      <c r="CI294" s="153">
        <f>SUM(CJ294:CQ294)</f>
        <v>3045376.96</v>
      </c>
      <c r="CJ294" s="414">
        <f>$N$25</f>
        <v>124294.91</v>
      </c>
      <c r="CK294" s="21">
        <f>E25</f>
        <v>1038</v>
      </c>
      <c r="CL294" s="21">
        <f>G25</f>
        <v>2863893.15</v>
      </c>
      <c r="CM294" s="21">
        <f>J25</f>
        <v>42950.9</v>
      </c>
      <c r="CN294" s="415">
        <f>F25</f>
        <v>0</v>
      </c>
      <c r="CO294" s="415">
        <f>K25</f>
        <v>0</v>
      </c>
      <c r="CP294" s="415">
        <f>AR25</f>
        <v>13200</v>
      </c>
      <c r="CQ294" s="416"/>
      <c r="CS294" s="417">
        <v>310</v>
      </c>
      <c r="CT294" s="324">
        <v>340</v>
      </c>
      <c r="CU294" s="413"/>
    </row>
    <row r="295" spans="81:99" ht="19.5" thickBot="1">
      <c r="CC295" s="55"/>
      <c r="CD295" s="181" t="s">
        <v>48</v>
      </c>
      <c r="CE295" s="182"/>
      <c r="CF295" s="182"/>
      <c r="CG295" s="69"/>
      <c r="CH295" s="69" t="s">
        <v>56</v>
      </c>
      <c r="CI295" s="418">
        <f aca="true" t="shared" si="24" ref="CI295:CO295">SUM(CI293:CI294)</f>
        <v>3340605.14</v>
      </c>
      <c r="CJ295" s="418">
        <f t="shared" si="24"/>
        <v>230478.09</v>
      </c>
      <c r="CK295" s="418">
        <f t="shared" si="24"/>
        <v>23945</v>
      </c>
      <c r="CL295" s="418">
        <f t="shared" si="24"/>
        <v>2922631.15</v>
      </c>
      <c r="CM295" s="418">
        <f t="shared" si="24"/>
        <v>42950.9</v>
      </c>
      <c r="CN295" s="418">
        <f t="shared" si="24"/>
        <v>0</v>
      </c>
      <c r="CO295" s="418">
        <f t="shared" si="24"/>
        <v>0</v>
      </c>
      <c r="CP295" s="418">
        <f>SUM(CP293:CP294)</f>
        <v>120600</v>
      </c>
      <c r="CQ295" s="337">
        <f>SUM(CQ293:CQ294)</f>
        <v>0</v>
      </c>
      <c r="CR295" s="85" t="s">
        <v>47</v>
      </c>
      <c r="CS295" s="419">
        <f>E23</f>
        <v>22907</v>
      </c>
      <c r="CT295" s="85">
        <f>E25</f>
        <v>1038</v>
      </c>
      <c r="CU295" s="303">
        <f>CS295+CT295-CK295</f>
        <v>0</v>
      </c>
    </row>
    <row r="296" spans="81:99" ht="18.75" customHeight="1">
      <c r="CC296" s="55"/>
      <c r="CD296" s="70"/>
      <c r="CE296" s="70"/>
      <c r="CF296" s="70"/>
      <c r="CG296" s="70"/>
      <c r="CH296" s="70"/>
      <c r="CI296" s="43"/>
      <c r="CJ296" s="43"/>
      <c r="CK296" s="376"/>
      <c r="CL296" s="43"/>
      <c r="CM296" s="43"/>
      <c r="CN296" s="43"/>
      <c r="CO296" s="29"/>
      <c r="CP296" s="197"/>
      <c r="CQ296" s="84"/>
      <c r="CR296" s="85" t="s">
        <v>161</v>
      </c>
      <c r="CS296" s="419">
        <f>I23</f>
        <v>0</v>
      </c>
      <c r="CT296" s="85">
        <f>I25</f>
        <v>0</v>
      </c>
      <c r="CU296" s="303">
        <f>CS296+CT296-CQ295</f>
        <v>0</v>
      </c>
    </row>
    <row r="297" spans="81:99" ht="18.75">
      <c r="CC297" s="55"/>
      <c r="CD297" s="434" t="s">
        <v>219</v>
      </c>
      <c r="CE297" s="435"/>
      <c r="CF297" s="435"/>
      <c r="CG297" s="435"/>
      <c r="CH297" s="435"/>
      <c r="CI297" s="435"/>
      <c r="CJ297" s="435"/>
      <c r="CK297" s="435"/>
      <c r="CL297" s="435"/>
      <c r="CM297" s="435"/>
      <c r="CN297" s="43"/>
      <c r="CO297" s="29"/>
      <c r="CP297" s="197"/>
      <c r="CQ297" s="84"/>
      <c r="CR297" s="85" t="s">
        <v>166</v>
      </c>
      <c r="CS297" s="419">
        <f>F23</f>
        <v>0</v>
      </c>
      <c r="CT297" s="85">
        <f>F25</f>
        <v>0</v>
      </c>
      <c r="CU297" s="303">
        <f>CS297+CT297-CN295</f>
        <v>0</v>
      </c>
    </row>
    <row r="298" spans="81:99" ht="19.5" thickBot="1">
      <c r="CC298" s="420"/>
      <c r="CD298" s="421"/>
      <c r="CE298" s="422"/>
      <c r="CF298" s="422"/>
      <c r="CG298" s="422"/>
      <c r="CH298" s="421"/>
      <c r="CI298" s="421"/>
      <c r="CJ298" s="421"/>
      <c r="CK298" s="421"/>
      <c r="CL298" s="421"/>
      <c r="CM298" s="421"/>
      <c r="CN298" s="421"/>
      <c r="CO298" s="423"/>
      <c r="CP298" s="424"/>
      <c r="CQ298" s="425"/>
      <c r="CR298" s="85" t="s">
        <v>191</v>
      </c>
      <c r="CS298" s="419">
        <f>K23</f>
        <v>0</v>
      </c>
      <c r="CT298" s="85">
        <f>J25</f>
        <v>42950.9</v>
      </c>
      <c r="CU298" s="303">
        <f>CM295-CS298-CT298</f>
        <v>0</v>
      </c>
    </row>
    <row r="299" spans="93:99" ht="18.75">
      <c r="CO299" s="1"/>
      <c r="CR299" s="85" t="s">
        <v>171</v>
      </c>
      <c r="CS299" s="419">
        <f>G23</f>
        <v>58738</v>
      </c>
      <c r="CT299" s="104">
        <f>G25</f>
        <v>2863893.15</v>
      </c>
      <c r="CU299" s="303">
        <f>CL295-CS299-CT299</f>
        <v>0</v>
      </c>
    </row>
    <row r="300" ht="18.75" hidden="1">
      <c r="CO300" s="1"/>
    </row>
    <row r="301" ht="18.75" hidden="1">
      <c r="CO301" s="1"/>
    </row>
    <row r="302" spans="83:93" ht="18.75" hidden="1">
      <c r="CE302" s="271" t="s">
        <v>152</v>
      </c>
      <c r="CF302" s="427">
        <f>$N$36</f>
        <v>14783851.32</v>
      </c>
      <c r="CH302" s="85">
        <f>$CK$20+$CI$46+$CH$70+$CI$99+$CK$148+$CK$172+$CJ$225+$CJ$284+$CJ$295+$CI$129+CH82+CI183</f>
        <v>14783851.32</v>
      </c>
      <c r="CI302" s="86">
        <f>CF302-CH302</f>
        <v>0</v>
      </c>
      <c r="CJ302" s="85"/>
      <c r="CK302" s="85"/>
      <c r="CL302" s="85"/>
      <c r="CO302" s="1"/>
    </row>
    <row r="303" spans="83:93" ht="18.75" hidden="1">
      <c r="CE303" s="271" t="s">
        <v>153</v>
      </c>
      <c r="CF303" s="427">
        <f>$D$36</f>
        <v>3441171.57</v>
      </c>
      <c r="CH303" s="85">
        <f>CL21+CI70+CJ99+CK99+CL148+CM148+CL172+CM172+CK225+CL225+CK284+CL284+CK295+CL295+CN295+CM295+CQ295+CK129+CL129+CN284+CN225+CO295+CJ183+CK183</f>
        <v>3441171.57</v>
      </c>
      <c r="CI303" s="86">
        <f>CF303-CH303</f>
        <v>0</v>
      </c>
      <c r="CJ303" s="85"/>
      <c r="CK303" s="85"/>
      <c r="CL303" s="85"/>
      <c r="CO303" s="1"/>
    </row>
    <row r="304" spans="83:93" ht="18.75" hidden="1">
      <c r="CE304" s="271" t="s">
        <v>154</v>
      </c>
      <c r="CF304" s="427">
        <f>$AR$36</f>
        <v>445074.74</v>
      </c>
      <c r="CH304" s="104">
        <f>CH81+CH83+$CJ$129+$CM$225+CM22+CJ70+CM284+CP295</f>
        <v>445074.74</v>
      </c>
      <c r="CI304" s="86">
        <f>CF304-CH304</f>
        <v>0</v>
      </c>
      <c r="CO304" s="1"/>
    </row>
    <row r="305" ht="18.75" hidden="1">
      <c r="CO305" s="1"/>
    </row>
    <row r="306" spans="86:93" ht="18.75" hidden="1">
      <c r="CH306" s="428">
        <f>CH302+CH303+CH304</f>
        <v>18670097.63</v>
      </c>
      <c r="CO306" s="1"/>
    </row>
    <row r="307" ht="18.75" hidden="1">
      <c r="CO307" s="1"/>
    </row>
    <row r="308" spans="86:93" ht="18.75" hidden="1">
      <c r="CH308" s="104">
        <f>CH306-C36</f>
        <v>0</v>
      </c>
      <c r="CO308" s="1"/>
    </row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</sheetData>
  <sheetProtection/>
  <mergeCells count="143">
    <mergeCell ref="I2:L3"/>
    <mergeCell ref="CD4:CI4"/>
    <mergeCell ref="D5:M5"/>
    <mergeCell ref="R5:AR5"/>
    <mergeCell ref="CD5:CI5"/>
    <mergeCell ref="AS6:AT6"/>
    <mergeCell ref="AU6:AV6"/>
    <mergeCell ref="AW6:AX6"/>
    <mergeCell ref="CD6:CI6"/>
    <mergeCell ref="CD10:CH10"/>
    <mergeCell ref="CD11:CH11"/>
    <mergeCell ref="CD14:CF14"/>
    <mergeCell ref="CG14:CH14"/>
    <mergeCell ref="CI14:CJ17"/>
    <mergeCell ref="CK14:CM17"/>
    <mergeCell ref="CD15:CE15"/>
    <mergeCell ref="CG15:CH15"/>
    <mergeCell ref="CD16:CE17"/>
    <mergeCell ref="CF16:CF17"/>
    <mergeCell ref="CG16:CH17"/>
    <mergeCell ref="CE23:CI23"/>
    <mergeCell ref="CE29:CE30"/>
    <mergeCell ref="CF29:CF30"/>
    <mergeCell ref="CG29:CG30"/>
    <mergeCell ref="CH29:CH30"/>
    <mergeCell ref="CI29:CI30"/>
    <mergeCell ref="CD35:CE35"/>
    <mergeCell ref="CD36:CI36"/>
    <mergeCell ref="CD37:CI37"/>
    <mergeCell ref="CE42:CE43"/>
    <mergeCell ref="CF42:CF43"/>
    <mergeCell ref="CG42:CG43"/>
    <mergeCell ref="CH42:CH43"/>
    <mergeCell ref="CI42:CI43"/>
    <mergeCell ref="CD46:CE46"/>
    <mergeCell ref="CD47:CI47"/>
    <mergeCell ref="CD48:CI48"/>
    <mergeCell ref="CE56:CE57"/>
    <mergeCell ref="CF56:CF57"/>
    <mergeCell ref="CG56:CG57"/>
    <mergeCell ref="CH56:CJ56"/>
    <mergeCell ref="CD70:CE70"/>
    <mergeCell ref="CD75:CH75"/>
    <mergeCell ref="CD76:CH76"/>
    <mergeCell ref="CE78:CE79"/>
    <mergeCell ref="CF78:CF79"/>
    <mergeCell ref="CG78:CG79"/>
    <mergeCell ref="CH78:CH79"/>
    <mergeCell ref="CI78:CI79"/>
    <mergeCell ref="CD84:CE84"/>
    <mergeCell ref="CD86:CH86"/>
    <mergeCell ref="CD91:CH91"/>
    <mergeCell ref="CD92:CH92"/>
    <mergeCell ref="CE94:CE95"/>
    <mergeCell ref="CF94:CF95"/>
    <mergeCell ref="CG94:CG95"/>
    <mergeCell ref="CH94:CH95"/>
    <mergeCell ref="CI94:CK94"/>
    <mergeCell ref="CD99:CE99"/>
    <mergeCell ref="CD100:CH100"/>
    <mergeCell ref="CD101:CK101"/>
    <mergeCell ref="CD105:CH105"/>
    <mergeCell ref="CD106:CH106"/>
    <mergeCell ref="CE108:CE109"/>
    <mergeCell ref="CF108:CF109"/>
    <mergeCell ref="CG108:CG109"/>
    <mergeCell ref="CH108:CH109"/>
    <mergeCell ref="CI108:CL108"/>
    <mergeCell ref="CD113:CE113"/>
    <mergeCell ref="CD114:CH114"/>
    <mergeCell ref="CD115:CH115"/>
    <mergeCell ref="CD120:CH120"/>
    <mergeCell ref="CD121:CH121"/>
    <mergeCell ref="CE123:CE124"/>
    <mergeCell ref="CF123:CF124"/>
    <mergeCell ref="CG123:CG124"/>
    <mergeCell ref="CH123:CH124"/>
    <mergeCell ref="CI123:CL123"/>
    <mergeCell ref="CD129:CE129"/>
    <mergeCell ref="CD130:CI130"/>
    <mergeCell ref="CD131:CI131"/>
    <mergeCell ref="CD135:CH135"/>
    <mergeCell ref="CD136:CH136"/>
    <mergeCell ref="CE140:CE141"/>
    <mergeCell ref="CF140:CF141"/>
    <mergeCell ref="CG140:CG141"/>
    <mergeCell ref="CH140:CH141"/>
    <mergeCell ref="CI140:CI141"/>
    <mergeCell ref="CJ140:CJ141"/>
    <mergeCell ref="CK140:CM140"/>
    <mergeCell ref="CD143:CD144"/>
    <mergeCell ref="CE143:CE144"/>
    <mergeCell ref="CF143:CF144"/>
    <mergeCell ref="CG143:CG144"/>
    <mergeCell ref="CH143:CH144"/>
    <mergeCell ref="CI143:CI144"/>
    <mergeCell ref="CJ143:CJ144"/>
    <mergeCell ref="CK143:CK144"/>
    <mergeCell ref="CL143:CL144"/>
    <mergeCell ref="CM143:CM144"/>
    <mergeCell ref="CD148:CE148"/>
    <mergeCell ref="CD149:CI149"/>
    <mergeCell ref="CD150:CI150"/>
    <mergeCell ref="CE154:CE155"/>
    <mergeCell ref="CF154:CF155"/>
    <mergeCell ref="CG154:CG155"/>
    <mergeCell ref="CH154:CH155"/>
    <mergeCell ref="CI154:CI155"/>
    <mergeCell ref="CJ154:CM154"/>
    <mergeCell ref="CD159:CE159"/>
    <mergeCell ref="CD160:CI160"/>
    <mergeCell ref="CD164:CD165"/>
    <mergeCell ref="CE164:CE165"/>
    <mergeCell ref="CF164:CF165"/>
    <mergeCell ref="CG164:CG165"/>
    <mergeCell ref="CI164:CI165"/>
    <mergeCell ref="CJ164:CJ165"/>
    <mergeCell ref="CK164:CM164"/>
    <mergeCell ref="CF168:CF169"/>
    <mergeCell ref="CD172:CE172"/>
    <mergeCell ref="CD174:CI174"/>
    <mergeCell ref="CE178:CE179"/>
    <mergeCell ref="CF178:CF179"/>
    <mergeCell ref="CG178:CG179"/>
    <mergeCell ref="CH178:CH179"/>
    <mergeCell ref="CI178:CL178"/>
    <mergeCell ref="CJ229:CN229"/>
    <mergeCell ref="CD183:CE183"/>
    <mergeCell ref="CE187:CE188"/>
    <mergeCell ref="CF187:CF188"/>
    <mergeCell ref="CG187:CG188"/>
    <mergeCell ref="CH187:CH188"/>
    <mergeCell ref="CI187:CI188"/>
    <mergeCell ref="CF290:CF291"/>
    <mergeCell ref="CJ290:CQ290"/>
    <mergeCell ref="CD297:CM297"/>
    <mergeCell ref="CJ187:CN187"/>
    <mergeCell ref="CD225:CE225"/>
    <mergeCell ref="CE229:CE230"/>
    <mergeCell ref="CF229:CF230"/>
    <mergeCell ref="CG229:CG230"/>
    <mergeCell ref="CH229:CH230"/>
    <mergeCell ref="CI229:CI230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2021-01-22T05:30:57Z</dcterms:modified>
  <cp:category/>
  <cp:version/>
  <cp:contentType/>
  <cp:contentStatus/>
</cp:coreProperties>
</file>